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ot.riz\Home\MAUR\MAUR-US0284\Desktop\"/>
    </mc:Choice>
  </mc:AlternateContent>
  <xr:revisionPtr revIDLastSave="0" documentId="8_{1EABAC58-49CA-48DD-AC85-6B986D14C6E8}" xr6:coauthVersionLast="36" xr6:coauthVersionMax="36" xr10:uidLastSave="{00000000-0000-0000-0000-000000000000}"/>
  <workbookProtection workbookAlgorithmName="SHA-512" workbookHashValue="22Lg82WXeaX2ukFr2BCp8+FFXUc2P4NcamTi5D1F6dtpnQPWwllXAhwHCCDW/249UtBIyoPpGy9ZaJtkQGLpdg==" workbookSaltValue="lUEI3VjPFx7nJYpWoovn+A==" workbookSpinCount="100000" lockStructure="1"/>
  <bookViews>
    <workbookView xWindow="-120" yWindow="-120" windowWidth="51840" windowHeight="21240" tabRatio="987" activeTab="3" xr2:uid="{00000000-000D-0000-FFFF-FFFF00000000}"/>
  </bookViews>
  <sheets>
    <sheet name="Gebührenblatt W, WG, KB" sheetId="1" r:id="rId1"/>
    <sheet name="Gebührenblatt G" sheetId="4" r:id="rId2"/>
    <sheet name="Gebührenblatt KA" sheetId="12" r:id="rId3"/>
    <sheet name="Gebührenblatt öB" sheetId="13" r:id="rId4"/>
    <sheet name="Gebührenblatt übrige (LW)" sheetId="14" r:id="rId5"/>
    <sheet name="Hilfsblatt" sheetId="9" r:id="rId6"/>
  </sheets>
  <externalReferences>
    <externalReference r:id="rId7"/>
  </externalReferences>
  <definedNames>
    <definedName name="_xlnm.Print_Area" localSheetId="1">'Gebührenblatt G'!$A$1:$H$62</definedName>
    <definedName name="_xlnm.Print_Area" localSheetId="2">'Gebührenblatt KA'!$A$1:$H$60</definedName>
    <definedName name="_xlnm.Print_Area" localSheetId="3">'Gebührenblatt öB'!$A$1:$H$56</definedName>
    <definedName name="_xlnm.Print_Area" localSheetId="4">'Gebührenblatt übrige (LW)'!$A$1:$H$57</definedName>
    <definedName name="_xlnm.Print_Area" localSheetId="0">'Gebührenblatt W, WG, KB'!$A$1:$H$62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4" l="1"/>
  <c r="G24" i="14"/>
  <c r="D47" i="1"/>
  <c r="E20" i="1"/>
  <c r="E13" i="12"/>
  <c r="E15" i="1"/>
  <c r="D11" i="14" l="1"/>
  <c r="E15" i="14" s="1"/>
  <c r="B15" i="14"/>
  <c r="C15" i="14" s="1"/>
  <c r="C39" i="14" s="1"/>
  <c r="A37" i="14"/>
  <c r="E39" i="14"/>
  <c r="F39" i="14"/>
  <c r="H39" i="14"/>
  <c r="B41" i="14"/>
  <c r="D41" i="14"/>
  <c r="F41" i="14"/>
  <c r="B42" i="14"/>
  <c r="D42" i="14"/>
  <c r="B43" i="14"/>
  <c r="C43" i="14"/>
  <c r="D43" i="14"/>
  <c r="E43" i="14"/>
  <c r="F43" i="14"/>
  <c r="A45" i="14"/>
  <c r="F47" i="14"/>
  <c r="H47" i="14"/>
  <c r="B49" i="14"/>
  <c r="D49" i="14"/>
  <c r="F49" i="14"/>
  <c r="B50" i="14"/>
  <c r="D50" i="14"/>
  <c r="B51" i="14"/>
  <c r="C51" i="14"/>
  <c r="D51" i="14"/>
  <c r="E51" i="14"/>
  <c r="F51" i="14"/>
  <c r="A53" i="14"/>
  <c r="B55" i="14"/>
  <c r="B56" i="14"/>
  <c r="B57" i="14"/>
  <c r="C57" i="14"/>
  <c r="D57" i="14"/>
  <c r="E57" i="14"/>
  <c r="F57" i="14"/>
  <c r="B39" i="14" l="1"/>
  <c r="E24" i="14"/>
  <c r="E47" i="14" s="1"/>
  <c r="D15" i="14"/>
  <c r="G15" i="14" s="1"/>
  <c r="B24" i="14"/>
  <c r="B47" i="14" s="1"/>
  <c r="E17" i="14" l="1"/>
  <c r="D39" i="14"/>
  <c r="C24" i="14"/>
  <c r="C47" i="14" s="1"/>
  <c r="G39" i="14" l="1"/>
  <c r="E26" i="14"/>
  <c r="D47" i="14"/>
  <c r="G17" i="14"/>
  <c r="E41" i="14"/>
  <c r="G47" i="14" l="1"/>
  <c r="G26" i="14"/>
  <c r="G27" i="14" s="1"/>
  <c r="E49" i="14"/>
  <c r="G18" i="14"/>
  <c r="G41" i="14"/>
  <c r="K20" i="14" l="1"/>
  <c r="G49" i="14"/>
  <c r="J20" i="14"/>
  <c r="L20" i="14" l="1"/>
  <c r="G19" i="14" s="1"/>
  <c r="G50" i="14"/>
  <c r="G28" i="14"/>
  <c r="G51" i="14" l="1"/>
  <c r="G33" i="14"/>
  <c r="G56" i="14"/>
  <c r="G42" i="14"/>
  <c r="G20" i="14"/>
  <c r="G43" i="14" l="1"/>
  <c r="G32" i="14"/>
  <c r="G55" i="14" l="1"/>
  <c r="G34" i="14"/>
  <c r="G57" i="14" s="1"/>
  <c r="E10" i="13" l="1"/>
  <c r="E14" i="13" s="1"/>
  <c r="G14" i="13" s="1"/>
  <c r="E23" i="13"/>
  <c r="A36" i="13"/>
  <c r="B38" i="13"/>
  <c r="C38" i="13"/>
  <c r="D38" i="13"/>
  <c r="F38" i="13"/>
  <c r="H38" i="13"/>
  <c r="B40" i="13"/>
  <c r="D40" i="13"/>
  <c r="F40" i="13"/>
  <c r="B41" i="13"/>
  <c r="D41" i="13"/>
  <c r="B42" i="13"/>
  <c r="C42" i="13"/>
  <c r="D42" i="13"/>
  <c r="E42" i="13"/>
  <c r="F42" i="13"/>
  <c r="A44" i="13"/>
  <c r="B46" i="13"/>
  <c r="C46" i="13"/>
  <c r="D46" i="13"/>
  <c r="E46" i="13"/>
  <c r="F46" i="13"/>
  <c r="H46" i="13"/>
  <c r="B48" i="13"/>
  <c r="D48" i="13"/>
  <c r="F48" i="13"/>
  <c r="B49" i="13"/>
  <c r="D49" i="13"/>
  <c r="B50" i="13"/>
  <c r="C50" i="13"/>
  <c r="D50" i="13"/>
  <c r="E50" i="13"/>
  <c r="F50" i="13"/>
  <c r="A52" i="13"/>
  <c r="B54" i="13"/>
  <c r="B55" i="13"/>
  <c r="B56" i="13"/>
  <c r="C56" i="13"/>
  <c r="D56" i="13"/>
  <c r="E56" i="13"/>
  <c r="F56" i="13"/>
  <c r="E12" i="12"/>
  <c r="E14" i="12" s="1"/>
  <c r="A40" i="12"/>
  <c r="B42" i="12"/>
  <c r="C42" i="12"/>
  <c r="D42" i="12"/>
  <c r="F42" i="12"/>
  <c r="H42" i="12"/>
  <c r="B44" i="12"/>
  <c r="D44" i="12"/>
  <c r="F44" i="12"/>
  <c r="B45" i="12"/>
  <c r="D45" i="12"/>
  <c r="B46" i="12"/>
  <c r="C46" i="12"/>
  <c r="D46" i="12"/>
  <c r="E46" i="12"/>
  <c r="F46" i="12"/>
  <c r="A48" i="12"/>
  <c r="B50" i="12"/>
  <c r="C50" i="12"/>
  <c r="D50" i="12"/>
  <c r="F50" i="12"/>
  <c r="H50" i="12"/>
  <c r="B52" i="12"/>
  <c r="D52" i="12"/>
  <c r="F52" i="12"/>
  <c r="B53" i="12"/>
  <c r="D53" i="12"/>
  <c r="B54" i="12"/>
  <c r="C54" i="12"/>
  <c r="D54" i="12"/>
  <c r="E54" i="12"/>
  <c r="F54" i="12"/>
  <c r="A56" i="12"/>
  <c r="B58" i="12"/>
  <c r="B59" i="12"/>
  <c r="B60" i="12"/>
  <c r="C60" i="12"/>
  <c r="D60" i="12"/>
  <c r="E60" i="12"/>
  <c r="F60" i="12"/>
  <c r="G23" i="13" l="1"/>
  <c r="E38" i="13"/>
  <c r="E27" i="12"/>
  <c r="G27" i="12" s="1"/>
  <c r="E18" i="12"/>
  <c r="G18" i="12" s="1"/>
  <c r="G24" i="13" l="1"/>
  <c r="G46" i="13"/>
  <c r="E25" i="13"/>
  <c r="E16" i="13"/>
  <c r="G38" i="13"/>
  <c r="E50" i="12"/>
  <c r="E42" i="12"/>
  <c r="G25" i="13" l="1"/>
  <c r="E48" i="13"/>
  <c r="G16" i="13"/>
  <c r="E40" i="13"/>
  <c r="E29" i="12"/>
  <c r="G50" i="12"/>
  <c r="E20" i="12"/>
  <c r="G42" i="12"/>
  <c r="B47" i="1"/>
  <c r="G26" i="13" l="1"/>
  <c r="G48" i="13"/>
  <c r="G17" i="13"/>
  <c r="G40" i="13"/>
  <c r="G29" i="12"/>
  <c r="E52" i="12"/>
  <c r="G20" i="12"/>
  <c r="E44" i="12"/>
  <c r="G27" i="13" l="1"/>
  <c r="G49" i="13"/>
  <c r="J19" i="13"/>
  <c r="K19" i="13"/>
  <c r="G52" i="12"/>
  <c r="G30" i="12"/>
  <c r="G53" i="12" s="1"/>
  <c r="G21" i="12"/>
  <c r="G44" i="12"/>
  <c r="G50" i="13" l="1"/>
  <c r="G32" i="13"/>
  <c r="G55" i="13" s="1"/>
  <c r="L19" i="13"/>
  <c r="G18" i="13" s="1"/>
  <c r="G31" i="12"/>
  <c r="J23" i="12"/>
  <c r="K23" i="12"/>
  <c r="L23" i="12" s="1"/>
  <c r="G22" i="12" s="1"/>
  <c r="G19" i="13" l="1"/>
  <c r="G41" i="13"/>
  <c r="G54" i="12"/>
  <c r="G36" i="12"/>
  <c r="G59" i="12" s="1"/>
  <c r="G45" i="12"/>
  <c r="G23" i="12"/>
  <c r="G24" i="12" s="1"/>
  <c r="G31" i="13" l="1"/>
  <c r="G42" i="13"/>
  <c r="G46" i="12"/>
  <c r="G35" i="12"/>
  <c r="G33" i="13" l="1"/>
  <c r="G56" i="13" s="1"/>
  <c r="G54" i="13"/>
  <c r="G37" i="12"/>
  <c r="G60" i="12" s="1"/>
  <c r="G58" i="12"/>
  <c r="H44" i="4" l="1"/>
  <c r="C44" i="4"/>
  <c r="D44" i="4"/>
  <c r="F44" i="4"/>
  <c r="B46" i="4"/>
  <c r="D46" i="4"/>
  <c r="F46" i="4"/>
  <c r="B47" i="4"/>
  <c r="D47" i="4"/>
  <c r="B48" i="4"/>
  <c r="C48" i="4"/>
  <c r="D48" i="4"/>
  <c r="E48" i="4"/>
  <c r="F48" i="4"/>
  <c r="C52" i="4"/>
  <c r="D52" i="4"/>
  <c r="F52" i="4"/>
  <c r="H52" i="4"/>
  <c r="B54" i="4"/>
  <c r="D54" i="4"/>
  <c r="F54" i="4"/>
  <c r="B55" i="4"/>
  <c r="D55" i="4"/>
  <c r="B56" i="4"/>
  <c r="C56" i="4"/>
  <c r="D56" i="4"/>
  <c r="E56" i="4"/>
  <c r="F56" i="4"/>
  <c r="B60" i="4"/>
  <c r="B61" i="4"/>
  <c r="B62" i="4"/>
  <c r="C62" i="4"/>
  <c r="D62" i="4"/>
  <c r="E62" i="4"/>
  <c r="F62" i="4"/>
  <c r="A58" i="4"/>
  <c r="A50" i="4"/>
  <c r="A42" i="4"/>
  <c r="H52" i="1"/>
  <c r="H44" i="1"/>
  <c r="A58" i="1"/>
  <c r="A50" i="1"/>
  <c r="F52" i="1"/>
  <c r="B54" i="1"/>
  <c r="D54" i="1"/>
  <c r="F54" i="1"/>
  <c r="B55" i="1"/>
  <c r="D55" i="1"/>
  <c r="B56" i="1"/>
  <c r="B60" i="1"/>
  <c r="B61" i="1"/>
  <c r="B62" i="1"/>
  <c r="F44" i="1"/>
  <c r="B46" i="1"/>
  <c r="D46" i="1"/>
  <c r="F46" i="1"/>
  <c r="B48" i="1"/>
  <c r="A42" i="1"/>
  <c r="B20" i="1"/>
  <c r="C20" i="1" s="1"/>
  <c r="C44" i="1" s="1"/>
  <c r="B29" i="1"/>
  <c r="C29" i="1" s="1"/>
  <c r="C52" i="1" s="1"/>
  <c r="B52" i="1" l="1"/>
  <c r="D20" i="1"/>
  <c r="G20" i="1" s="1"/>
  <c r="E22" i="1" s="1"/>
  <c r="G22" i="1" s="1"/>
  <c r="B44" i="1"/>
  <c r="D29" i="1"/>
  <c r="D52" i="1" l="1"/>
  <c r="D44" i="1"/>
  <c r="D10" i="9"/>
  <c r="D9" i="9"/>
  <c r="H7" i="1"/>
  <c r="B29" i="4" l="1"/>
  <c r="B52" i="4" s="1"/>
  <c r="E9" i="4"/>
  <c r="E9" i="1"/>
  <c r="B20" i="4"/>
  <c r="B44" i="4" s="1"/>
  <c r="E12" i="4" l="1"/>
  <c r="E12" i="1" l="1"/>
  <c r="E14" i="4" l="1"/>
  <c r="E15" i="4" l="1"/>
  <c r="E16" i="4" s="1"/>
  <c r="E29" i="4" l="1"/>
  <c r="G29" i="4" s="1"/>
  <c r="E20" i="4"/>
  <c r="G20" i="4" s="1"/>
  <c r="E22" i="4" s="1"/>
  <c r="E46" i="4" s="1"/>
  <c r="E44" i="4"/>
  <c r="E52" i="4"/>
  <c r="E14" i="1"/>
  <c r="G44" i="4" l="1"/>
  <c r="E31" i="4"/>
  <c r="G52" i="4"/>
  <c r="E16" i="1"/>
  <c r="G31" i="4" l="1"/>
  <c r="G32" i="4" s="1"/>
  <c r="E54" i="4"/>
  <c r="E29" i="1"/>
  <c r="G22" i="4"/>
  <c r="G23" i="4" s="1"/>
  <c r="E52" i="1" l="1"/>
  <c r="G29" i="1"/>
  <c r="E31" i="1" s="1"/>
  <c r="J25" i="4"/>
  <c r="K25" i="4"/>
  <c r="G46" i="4"/>
  <c r="G54" i="4"/>
  <c r="G52" i="1"/>
  <c r="E44" i="1"/>
  <c r="G44" i="1" l="1"/>
  <c r="G33" i="4"/>
  <c r="G55" i="4"/>
  <c r="E54" i="1"/>
  <c r="E46" i="1" l="1"/>
  <c r="G23" i="1"/>
  <c r="G56" i="4"/>
  <c r="G38" i="4"/>
  <c r="G61" i="4" s="1"/>
  <c r="G31" i="1"/>
  <c r="G32" i="1" s="1"/>
  <c r="G33" i="1" l="1"/>
  <c r="G46" i="1"/>
  <c r="G54" i="1"/>
  <c r="J25" i="1"/>
  <c r="G55" i="1"/>
  <c r="K25" i="1" l="1"/>
  <c r="L25" i="1" s="1"/>
  <c r="G24" i="1" s="1"/>
  <c r="G56" i="1"/>
  <c r="G25" i="1" l="1"/>
  <c r="G47" i="1"/>
  <c r="G39" i="1"/>
  <c r="G38" i="1"/>
  <c r="G61" i="1" s="1"/>
  <c r="G37" i="1" l="1"/>
  <c r="G60" i="1" s="1"/>
  <c r="G48" i="1"/>
  <c r="G62" i="1"/>
  <c r="L25" i="4" l="1"/>
  <c r="G24" i="4" s="1"/>
  <c r="G48" i="4" l="1"/>
  <c r="G25" i="4"/>
  <c r="G47" i="4"/>
  <c r="G37" i="4" l="1"/>
  <c r="G39" i="4" s="1"/>
  <c r="G62" i="4" l="1"/>
  <c r="G60" i="4"/>
</calcChain>
</file>

<file path=xl/sharedStrings.xml><?xml version="1.0" encoding="utf-8"?>
<sst xmlns="http://schemas.openxmlformats.org/spreadsheetml/2006/main" count="309" uniqueCount="92">
  <si>
    <t>Faktor a.</t>
  </si>
  <si>
    <t>Faktor b.</t>
  </si>
  <si>
    <t>Faktor c.</t>
  </si>
  <si>
    <t>Faktor d.</t>
  </si>
  <si>
    <t xml:space="preserve">Mehrwertsteuer </t>
  </si>
  <si>
    <t>Total Anschlussgebühren Wasser</t>
  </si>
  <si>
    <t>Innerhalb
Bauzone</t>
  </si>
  <si>
    <t>Total Anschlussgebühren Abwasser</t>
  </si>
  <si>
    <t>Total Anschlussgebühren Wasser + Abwasser</t>
  </si>
  <si>
    <t>minus</t>
  </si>
  <si>
    <t>%</t>
  </si>
  <si>
    <t>Zone</t>
  </si>
  <si>
    <t>Kat. Nr.</t>
  </si>
  <si>
    <t>Maximale Ausnützung (AZ)</t>
  </si>
  <si>
    <t>BZO</t>
  </si>
  <si>
    <t>AV</t>
  </si>
  <si>
    <t>bereits ausgenützte Grundstücksfläche</t>
  </si>
  <si>
    <t>KA</t>
  </si>
  <si>
    <t>Kostenpflichtige Fläche</t>
  </si>
  <si>
    <t>Kernzonenplan</t>
  </si>
  <si>
    <t>Baumassenziffer</t>
  </si>
  <si>
    <t>Baueingabe</t>
  </si>
  <si>
    <t>Berrechnung</t>
  </si>
  <si>
    <t>Anschlussgebühr Wasser</t>
  </si>
  <si>
    <t>Anschlussgebühr Abwasser</t>
  </si>
  <si>
    <t>Maximale Ausnützung</t>
  </si>
  <si>
    <t>Faktor f.</t>
  </si>
  <si>
    <t>Maximale Ausnützung (GNF) aller Baubereich</t>
  </si>
  <si>
    <t>Faktor e.</t>
  </si>
  <si>
    <t>öB</t>
  </si>
  <si>
    <t>Gebäudefläche Erweiterung (gem. Baueingabe)</t>
  </si>
  <si>
    <t>Verbleibende Fläche (Kostenpflichtige Fläche)</t>
  </si>
  <si>
    <t>Berechnung</t>
  </si>
  <si>
    <t>Baueingabe / Berechnung</t>
  </si>
  <si>
    <t>Ausnützungsgrad</t>
  </si>
  <si>
    <t>W2/45</t>
  </si>
  <si>
    <t>Zonen</t>
  </si>
  <si>
    <t>W2/35</t>
  </si>
  <si>
    <t>WG2</t>
  </si>
  <si>
    <t>WG2_Bonus</t>
  </si>
  <si>
    <t>KB</t>
  </si>
  <si>
    <t>W1</t>
  </si>
  <si>
    <t>WG3</t>
  </si>
  <si>
    <t>W2/45_Bonus</t>
  </si>
  <si>
    <t>Faktor</t>
  </si>
  <si>
    <t>W3</t>
  </si>
  <si>
    <t>BG Nr.</t>
  </si>
  <si>
    <t>Adresse</t>
  </si>
  <si>
    <t>Zone für öffentl. Bauten</t>
  </si>
  <si>
    <t>freistehende Wohnbauten mit/ohne Gewerbeanteil</t>
  </si>
  <si>
    <t>Wohnbauten mit/ohne Gewerbeanteil, zusammengebaut mit Ökonomieteil</t>
  </si>
  <si>
    <t>freistehende Ökonomiegebäude</t>
  </si>
  <si>
    <t>LW</t>
  </si>
  <si>
    <t>G1</t>
  </si>
  <si>
    <t>G2</t>
  </si>
  <si>
    <t>Ausnützungsziffer</t>
  </si>
  <si>
    <t>Effektive Grundstücksfläche (innerhalb Bauzone)</t>
  </si>
  <si>
    <t>Massgebliche Grundfläche gem. PBG  (z.B. Abzug Waldabstandsflächen)</t>
  </si>
  <si>
    <t>Bereits realisierte Ausnützung (anrechenbare Flächen)</t>
  </si>
  <si>
    <t>Bereits realisierte Ausnützung (anrechenbare Baumasse)</t>
  </si>
  <si>
    <t>Bereits realisierte Ausnützung (GNF)</t>
  </si>
  <si>
    <t>m²</t>
  </si>
  <si>
    <t>m³</t>
  </si>
  <si>
    <t>m³/m²</t>
  </si>
  <si>
    <t>Anschlussgebühr pro m²</t>
  </si>
  <si>
    <t>AV / ÖREB</t>
  </si>
  <si>
    <t>Ausnützung</t>
  </si>
  <si>
    <t>Stand</t>
  </si>
  <si>
    <t>Bau- und Zonenordnung Feb. 2012</t>
  </si>
  <si>
    <t>SEVO, WVR Dez. 2019</t>
  </si>
  <si>
    <t>Achtung:
Bedingungen Areal-
überbauung prüfen</t>
  </si>
  <si>
    <t>Ausnützungs- oder Baumassenziffer</t>
  </si>
  <si>
    <t>Nur Wasser</t>
  </si>
  <si>
    <t>Nur Abwasser</t>
  </si>
  <si>
    <t>Wasser und Abwasser</t>
  </si>
  <si>
    <t>Bitte auswählen</t>
  </si>
  <si>
    <t>Anschlussgebühren Total</t>
  </si>
  <si>
    <t>Total Anschlussgebühren Wasser + Abwasser inkl. MwSt.</t>
  </si>
  <si>
    <t>Total Anschlussgebühren Abwasser inkl. MwSt</t>
  </si>
  <si>
    <t>Total Anschlussgebühren Wasser inkl. MwSt</t>
  </si>
  <si>
    <t xml:space="preserve">Total Anschlussgebühren Wasser inkl. MwSt. </t>
  </si>
  <si>
    <t>Total Anschlussgebühren Abwasser inkl. MwSt.</t>
  </si>
  <si>
    <t>Total Anschlussgebühren Wasser inkl. MwSt.</t>
  </si>
  <si>
    <t>Berechnung der Anschlussgebühren</t>
  </si>
  <si>
    <t>Kostenpflichtige Grundstücksfläche</t>
  </si>
  <si>
    <t xml:space="preserve">Total Anschlussgebühren Abwasser inkl. MwSt. </t>
  </si>
  <si>
    <t xml:space="preserve">MWST </t>
  </si>
  <si>
    <t>Rundung MWST</t>
  </si>
  <si>
    <t>Differenz Rundung Wasser</t>
  </si>
  <si>
    <t>Mehrwertsteuer berechnet</t>
  </si>
  <si>
    <t>Mehrwertsteuer</t>
  </si>
  <si>
    <t>Hilfsformeln-Rundung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</si>
</sst>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&quot;Fr.&quot;\ #,##0.00"/>
    <numFmt numFmtId="166" formatCode="0.0%"/>
    <numFmt numFmtId="167" formatCode="_ * #,##0_ ;_ * \-#,##0_ ;_ * &quot;-&quot;??_ ;_ @_ "/>
    <numFmt numFmtId="168" formatCode="#,##0.000"/>
    <numFmt numFmtId="169" formatCode="#,##0.0"/>
    <numFmt numFmtId="170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i/>
      <u/>
      <sz val="22"/>
      <color theme="1"/>
      <name val="Segoe UI"/>
      <family val="2"/>
    </font>
    <font>
      <sz val="11"/>
      <color rgb="FF3F3F76"/>
      <name val="Segoe UI"/>
      <family val="2"/>
    </font>
    <font>
      <sz val="11"/>
      <color theme="0"/>
      <name val="Segoe UI"/>
      <family val="2"/>
    </font>
    <font>
      <b/>
      <u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sz val="11"/>
      <name val="Segoe UI"/>
      <family val="2"/>
    </font>
    <font>
      <sz val="11"/>
      <color theme="5"/>
      <name val="Segoe UI"/>
      <family val="2"/>
    </font>
    <font>
      <sz val="10"/>
      <color rgb="FFC0504D"/>
      <name val="Segoe UI"/>
      <family val="2"/>
    </font>
    <font>
      <sz val="8"/>
      <name val="Calibri"/>
      <family val="2"/>
      <scheme val="minor"/>
    </font>
    <font>
      <u/>
      <sz val="10"/>
      <color rgb="FFC00000"/>
      <name val="Segoe UI"/>
      <family val="2"/>
    </font>
    <font>
      <sz val="10"/>
      <color theme="1"/>
      <name val="Segoe UI"/>
      <family val="2"/>
    </font>
    <font>
      <b/>
      <u val="double"/>
      <sz val="14"/>
      <color theme="1"/>
      <name val="Segoe UI"/>
      <family val="2"/>
    </font>
    <font>
      <b/>
      <sz val="11"/>
      <color theme="0"/>
      <name val="Segoe UI"/>
      <family val="2"/>
    </font>
    <font>
      <sz val="10"/>
      <color theme="0" tint="-0.14999847407452621"/>
      <name val="Segoe UI"/>
      <family val="2"/>
    </font>
    <font>
      <i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7" fontId="12" fillId="5" borderId="0" xfId="3" applyNumberFormat="1" applyFont="1" applyFill="1" applyBorder="1" applyAlignment="1" applyProtection="1">
      <alignment horizontal="right"/>
      <protection locked="0"/>
    </xf>
    <xf numFmtId="1" fontId="12" fillId="5" borderId="0" xfId="3" applyNumberFormat="1" applyFont="1" applyFill="1" applyBorder="1" applyAlignment="1" applyProtection="1">
      <alignment horizontal="right"/>
      <protection locked="0"/>
    </xf>
    <xf numFmtId="1" fontId="12" fillId="5" borderId="0" xfId="1" applyNumberFormat="1" applyFont="1" applyFill="1" applyBorder="1" applyAlignment="1" applyProtection="1">
      <alignment horizontal="right"/>
      <protection locked="0"/>
    </xf>
    <xf numFmtId="0" fontId="7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0" fillId="4" borderId="0" xfId="0" applyFill="1"/>
    <xf numFmtId="0" fontId="11" fillId="4" borderId="0" xfId="2" applyFont="1" applyFill="1" applyBorder="1" applyProtection="1"/>
    <xf numFmtId="164" fontId="11" fillId="4" borderId="0" xfId="2" applyNumberFormat="1" applyFont="1" applyFill="1" applyBorder="1" applyAlignment="1" applyProtection="1">
      <alignment horizontal="center"/>
    </xf>
    <xf numFmtId="0" fontId="0" fillId="4" borderId="0" xfId="0" applyFill="1" applyAlignment="1">
      <alignment horizontal="left"/>
    </xf>
    <xf numFmtId="0" fontId="19" fillId="4" borderId="0" xfId="0" applyFont="1" applyFill="1" applyAlignment="1">
      <alignment horizontal="left"/>
    </xf>
    <xf numFmtId="0" fontId="9" fillId="4" borderId="0" xfId="0" applyFont="1" applyFill="1" applyAlignment="1">
      <alignment wrapText="1"/>
    </xf>
    <xf numFmtId="167" fontId="9" fillId="4" borderId="0" xfId="3" applyNumberFormat="1" applyFont="1" applyFill="1" applyBorder="1" applyAlignment="1" applyProtection="1">
      <alignment horizontal="right"/>
    </xf>
    <xf numFmtId="0" fontId="13" fillId="4" borderId="0" xfId="0" applyFont="1" applyFill="1"/>
    <xf numFmtId="164" fontId="9" fillId="4" borderId="0" xfId="0" applyNumberFormat="1" applyFont="1" applyFill="1" applyAlignment="1">
      <alignment horizontal="center"/>
    </xf>
    <xf numFmtId="0" fontId="19" fillId="4" borderId="0" xfId="0" applyFont="1" applyFill="1"/>
    <xf numFmtId="167" fontId="17" fillId="4" borderId="0" xfId="3" applyNumberFormat="1" applyFont="1" applyFill="1" applyBorder="1" applyAlignment="1" applyProtection="1">
      <alignment horizontal="right"/>
    </xf>
    <xf numFmtId="164" fontId="17" fillId="4" borderId="0" xfId="2" applyNumberFormat="1" applyFont="1" applyFill="1" applyBorder="1" applyAlignment="1" applyProtection="1">
      <alignment horizontal="center"/>
    </xf>
    <xf numFmtId="2" fontId="9" fillId="4" borderId="0" xfId="0" applyNumberFormat="1" applyFont="1" applyFill="1" applyAlignment="1">
      <alignment horizontal="center"/>
    </xf>
    <xf numFmtId="2" fontId="9" fillId="4" borderId="0" xfId="0" applyNumberFormat="1" applyFont="1" applyFill="1"/>
    <xf numFmtId="167" fontId="9" fillId="4" borderId="0" xfId="0" applyNumberFormat="1" applyFont="1" applyFill="1" applyAlignment="1">
      <alignment wrapText="1"/>
    </xf>
    <xf numFmtId="164" fontId="9" fillId="4" borderId="0" xfId="0" applyNumberFormat="1" applyFont="1" applyFill="1" applyAlignment="1">
      <alignment horizontal="center" wrapText="1"/>
    </xf>
    <xf numFmtId="165" fontId="9" fillId="4" borderId="0" xfId="0" applyNumberFormat="1" applyFont="1" applyFill="1" applyAlignment="1">
      <alignment horizontal="center"/>
    </xf>
    <xf numFmtId="165" fontId="9" fillId="4" borderId="0" xfId="0" applyNumberFormat="1" applyFont="1" applyFill="1"/>
    <xf numFmtId="166" fontId="9" fillId="4" borderId="0" xfId="1" applyNumberFormat="1" applyFont="1" applyFill="1" applyBorder="1" applyAlignment="1" applyProtection="1">
      <alignment horizontal="center"/>
    </xf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0" fillId="4" borderId="0" xfId="0" applyFill="1" applyAlignment="1">
      <alignment horizontal="center"/>
    </xf>
    <xf numFmtId="0" fontId="18" fillId="4" borderId="0" xfId="0" applyFont="1" applyFill="1" applyAlignment="1">
      <alignment horizontal="left"/>
    </xf>
    <xf numFmtId="0" fontId="9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>
      <alignment horizontal="left" wrapText="1"/>
    </xf>
    <xf numFmtId="2" fontId="17" fillId="4" borderId="0" xfId="0" applyNumberFormat="1" applyFont="1" applyFill="1"/>
    <xf numFmtId="43" fontId="8" fillId="4" borderId="4" xfId="2" applyNumberFormat="1" applyFont="1" applyFill="1" applyBorder="1" applyProtection="1"/>
    <xf numFmtId="43" fontId="12" fillId="5" borderId="0" xfId="3" applyFont="1" applyFill="1" applyBorder="1" applyAlignment="1" applyProtection="1">
      <alignment horizontal="right"/>
      <protection locked="0"/>
    </xf>
    <xf numFmtId="43" fontId="9" fillId="4" borderId="3" xfId="3" applyFont="1" applyFill="1" applyBorder="1" applyProtection="1"/>
    <xf numFmtId="43" fontId="8" fillId="4" borderId="0" xfId="2" applyNumberFormat="1" applyFont="1" applyFill="1" applyBorder="1" applyProtection="1"/>
    <xf numFmtId="43" fontId="9" fillId="4" borderId="0" xfId="3" applyFont="1" applyFill="1" applyBorder="1" applyAlignment="1" applyProtection="1">
      <alignment horizontal="right"/>
    </xf>
    <xf numFmtId="2" fontId="9" fillId="4" borderId="1" xfId="3" applyNumberFormat="1" applyFont="1" applyFill="1" applyBorder="1" applyProtection="1"/>
    <xf numFmtId="2" fontId="12" fillId="5" borderId="0" xfId="3" applyNumberFormat="1" applyFont="1" applyFill="1" applyBorder="1" applyAlignment="1" applyProtection="1">
      <alignment horizontal="right"/>
      <protection locked="0"/>
    </xf>
    <xf numFmtId="2" fontId="9" fillId="4" borderId="0" xfId="3" applyNumberFormat="1" applyFont="1" applyFill="1" applyBorder="1" applyAlignment="1" applyProtection="1">
      <alignment horizontal="right"/>
    </xf>
    <xf numFmtId="2" fontId="9" fillId="4" borderId="3" xfId="3" applyNumberFormat="1" applyFont="1" applyFill="1" applyBorder="1" applyProtection="1"/>
    <xf numFmtId="2" fontId="8" fillId="4" borderId="0" xfId="2" applyNumberFormat="1" applyFont="1" applyFill="1" applyBorder="1" applyProtection="1"/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22" fillId="4" borderId="0" xfId="0" applyFont="1" applyFill="1"/>
    <xf numFmtId="165" fontId="23" fillId="4" borderId="5" xfId="0" applyNumberFormat="1" applyFont="1" applyFill="1" applyBorder="1" applyAlignment="1">
      <alignment horizontal="right"/>
    </xf>
    <xf numFmtId="165" fontId="23" fillId="4" borderId="5" xfId="0" applyNumberFormat="1" applyFont="1" applyFill="1" applyBorder="1"/>
    <xf numFmtId="1" fontId="12" fillId="3" borderId="0" xfId="1" applyNumberFormat="1" applyFont="1" applyFill="1" applyBorder="1" applyAlignment="1" applyProtection="1">
      <alignment horizontal="right"/>
      <protection locked="0"/>
    </xf>
    <xf numFmtId="2" fontId="25" fillId="4" borderId="0" xfId="0" applyNumberFormat="1" applyFont="1" applyFill="1"/>
    <xf numFmtId="2" fontId="25" fillId="4" borderId="0" xfId="0" applyNumberFormat="1" applyFont="1" applyFill="1" applyAlignment="1">
      <alignment wrapText="1"/>
    </xf>
    <xf numFmtId="0" fontId="25" fillId="4" borderId="0" xfId="0" applyFont="1" applyFill="1"/>
    <xf numFmtId="2" fontId="25" fillId="4" borderId="0" xfId="0" quotePrefix="1" applyNumberFormat="1" applyFont="1" applyFill="1"/>
    <xf numFmtId="0" fontId="25" fillId="4" borderId="0" xfId="0" applyFont="1" applyFill="1" applyAlignment="1">
      <alignment wrapText="1"/>
    </xf>
    <xf numFmtId="0" fontId="0" fillId="7" borderId="0" xfId="0" applyFill="1"/>
    <xf numFmtId="0" fontId="4" fillId="7" borderId="0" xfId="0" applyFont="1" applyFill="1"/>
    <xf numFmtId="0" fontId="27" fillId="7" borderId="0" xfId="0" applyFont="1" applyFill="1"/>
    <xf numFmtId="168" fontId="28" fillId="7" borderId="0" xfId="0" applyNumberFormat="1" applyFont="1" applyFill="1"/>
    <xf numFmtId="0" fontId="28" fillId="7" borderId="0" xfId="0" applyFont="1" applyFill="1"/>
    <xf numFmtId="43" fontId="12" fillId="3" borderId="0" xfId="3" applyFont="1" applyFill="1" applyBorder="1" applyAlignment="1" applyProtection="1">
      <alignment horizontal="right"/>
      <protection locked="0"/>
    </xf>
    <xf numFmtId="0" fontId="9" fillId="7" borderId="0" xfId="0" applyFont="1" applyFill="1"/>
    <xf numFmtId="165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left"/>
    </xf>
    <xf numFmtId="165" fontId="9" fillId="7" borderId="0" xfId="0" applyNumberFormat="1" applyFont="1" applyFill="1"/>
    <xf numFmtId="0" fontId="9" fillId="7" borderId="0" xfId="0" applyFont="1" applyFill="1" applyAlignment="1">
      <alignment wrapText="1"/>
    </xf>
    <xf numFmtId="166" fontId="9" fillId="7" borderId="0" xfId="1" applyNumberFormat="1" applyFont="1" applyFill="1" applyBorder="1" applyAlignment="1" applyProtection="1">
      <alignment horizontal="center"/>
    </xf>
    <xf numFmtId="0" fontId="14" fillId="7" borderId="0" xfId="0" applyFont="1" applyFill="1"/>
    <xf numFmtId="0" fontId="16" fillId="7" borderId="2" xfId="0" applyFont="1" applyFill="1" applyBorder="1"/>
    <xf numFmtId="0" fontId="14" fillId="7" borderId="2" xfId="0" applyFont="1" applyFill="1" applyBorder="1"/>
    <xf numFmtId="0" fontId="14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/>
    </xf>
    <xf numFmtId="165" fontId="14" fillId="7" borderId="2" xfId="0" applyNumberFormat="1" applyFont="1" applyFill="1" applyBorder="1"/>
    <xf numFmtId="0" fontId="9" fillId="7" borderId="0" xfId="0" applyFont="1" applyFill="1" applyAlignment="1">
      <alignment horizontal="center"/>
    </xf>
    <xf numFmtId="0" fontId="10" fillId="7" borderId="0" xfId="0" applyFont="1" applyFill="1"/>
    <xf numFmtId="0" fontId="13" fillId="7" borderId="0" xfId="0" applyFont="1" applyFill="1"/>
    <xf numFmtId="0" fontId="9" fillId="7" borderId="0" xfId="0" applyFont="1" applyFill="1" applyAlignment="1">
      <alignment horizontal="left" wrapText="1"/>
    </xf>
    <xf numFmtId="2" fontId="9" fillId="7" borderId="0" xfId="0" applyNumberFormat="1" applyFont="1" applyFill="1" applyAlignment="1">
      <alignment horizontal="center"/>
    </xf>
    <xf numFmtId="2" fontId="9" fillId="7" borderId="0" xfId="0" applyNumberFormat="1" applyFont="1" applyFill="1"/>
    <xf numFmtId="0" fontId="15" fillId="7" borderId="0" xfId="0" applyFont="1" applyFill="1"/>
    <xf numFmtId="0" fontId="6" fillId="7" borderId="0" xfId="0" applyFont="1" applyFill="1"/>
    <xf numFmtId="0" fontId="16" fillId="7" borderId="0" xfId="0" applyFont="1" applyFill="1"/>
    <xf numFmtId="0" fontId="16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left"/>
    </xf>
    <xf numFmtId="165" fontId="16" fillId="7" borderId="2" xfId="0" applyNumberFormat="1" applyFont="1" applyFill="1" applyBorder="1"/>
    <xf numFmtId="0" fontId="5" fillId="7" borderId="0" xfId="0" applyFont="1" applyFill="1"/>
    <xf numFmtId="167" fontId="9" fillId="7" borderId="0" xfId="0" applyNumberFormat="1" applyFont="1" applyFill="1" applyAlignment="1">
      <alignment wrapText="1"/>
    </xf>
    <xf numFmtId="164" fontId="9" fillId="7" borderId="0" xfId="0" applyNumberFormat="1" applyFont="1" applyFill="1" applyAlignment="1">
      <alignment horizontal="center" wrapText="1"/>
    </xf>
    <xf numFmtId="2" fontId="9" fillId="7" borderId="1" xfId="3" applyNumberFormat="1" applyFont="1" applyFill="1" applyBorder="1" applyProtection="1"/>
    <xf numFmtId="164" fontId="9" fillId="7" borderId="0" xfId="0" applyNumberFormat="1" applyFont="1" applyFill="1" applyAlignment="1">
      <alignment horizontal="center"/>
    </xf>
    <xf numFmtId="2" fontId="17" fillId="7" borderId="0" xfId="0" applyNumberFormat="1" applyFont="1" applyFill="1"/>
    <xf numFmtId="0" fontId="26" fillId="7" borderId="0" xfId="0" applyFont="1" applyFill="1" applyAlignment="1">
      <alignment wrapText="1"/>
    </xf>
    <xf numFmtId="165" fontId="23" fillId="7" borderId="5" xfId="0" applyNumberFormat="1" applyFont="1" applyFill="1" applyBorder="1"/>
    <xf numFmtId="167" fontId="9" fillId="7" borderId="0" xfId="0" applyNumberFormat="1" applyFont="1" applyFill="1"/>
    <xf numFmtId="43" fontId="9" fillId="7" borderId="0" xfId="0" applyNumberFormat="1" applyFont="1" applyFill="1"/>
    <xf numFmtId="43" fontId="9" fillId="7" borderId="1" xfId="3" applyFont="1" applyFill="1" applyBorder="1" applyProtection="1"/>
    <xf numFmtId="1" fontId="9" fillId="7" borderId="0" xfId="0" applyNumberFormat="1" applyFont="1" applyFill="1"/>
    <xf numFmtId="43" fontId="17" fillId="7" borderId="0" xfId="0" applyNumberFormat="1" applyFont="1" applyFill="1"/>
    <xf numFmtId="0" fontId="26" fillId="7" borderId="0" xfId="0" applyFont="1" applyFill="1"/>
    <xf numFmtId="166" fontId="9" fillId="7" borderId="0" xfId="1" applyNumberFormat="1" applyFont="1" applyFill="1" applyAlignment="1">
      <alignment horizontal="center"/>
    </xf>
    <xf numFmtId="1" fontId="14" fillId="7" borderId="2" xfId="0" applyNumberFormat="1" applyFont="1" applyFill="1" applyBorder="1"/>
    <xf numFmtId="167" fontId="9" fillId="4" borderId="0" xfId="0" applyNumberFormat="1" applyFont="1" applyFill="1" applyAlignment="1">
      <alignment horizontal="left" wrapText="1"/>
    </xf>
    <xf numFmtId="169" fontId="28" fillId="7" borderId="0" xfId="0" applyNumberFormat="1" applyFont="1" applyFill="1"/>
    <xf numFmtId="0" fontId="9" fillId="7" borderId="0" xfId="0" applyFont="1" applyFill="1" applyAlignment="1" applyProtection="1">
      <alignment horizontal="left" wrapText="1"/>
      <protection locked="0"/>
    </xf>
    <xf numFmtId="164" fontId="9" fillId="7" borderId="0" xfId="0" applyNumberFormat="1" applyFont="1" applyFill="1" applyAlignment="1">
      <alignment horizontal="right"/>
    </xf>
    <xf numFmtId="0" fontId="8" fillId="7" borderId="0" xfId="0" applyFont="1" applyFill="1"/>
    <xf numFmtId="0" fontId="11" fillId="7" borderId="0" xfId="2" applyFont="1" applyFill="1" applyBorder="1" applyProtection="1"/>
    <xf numFmtId="164" fontId="11" fillId="7" borderId="0" xfId="2" applyNumberFormat="1" applyFont="1" applyFill="1" applyBorder="1" applyAlignment="1" applyProtection="1">
      <alignment horizontal="center"/>
    </xf>
    <xf numFmtId="167" fontId="8" fillId="7" borderId="0" xfId="2" applyNumberFormat="1" applyFont="1" applyFill="1" applyBorder="1" applyProtection="1"/>
    <xf numFmtId="170" fontId="9" fillId="4" borderId="0" xfId="0" applyNumberFormat="1" applyFont="1" applyFill="1"/>
    <xf numFmtId="0" fontId="16" fillId="4" borderId="5" xfId="0" applyFont="1" applyFill="1" applyBorder="1" applyAlignment="1">
      <alignment horizontal="left"/>
    </xf>
    <xf numFmtId="0" fontId="16" fillId="7" borderId="5" xfId="0" applyFont="1" applyFill="1" applyBorder="1" applyAlignment="1">
      <alignment horizontal="left"/>
    </xf>
    <xf numFmtId="2" fontId="9" fillId="4" borderId="0" xfId="0" applyNumberFormat="1" applyFont="1" applyFill="1" applyAlignment="1">
      <alignment horizontal="left" wrapText="1"/>
    </xf>
    <xf numFmtId="0" fontId="9" fillId="6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wrapText="1"/>
    </xf>
    <xf numFmtId="0" fontId="24" fillId="3" borderId="0" xfId="0" applyFont="1" applyFill="1" applyAlignment="1" applyProtection="1">
      <alignment horizontal="left"/>
      <protection locked="0"/>
    </xf>
    <xf numFmtId="167" fontId="9" fillId="4" borderId="0" xfId="3" applyNumberFormat="1" applyFont="1" applyFill="1" applyBorder="1" applyAlignment="1" applyProtection="1">
      <alignment horizontal="right"/>
    </xf>
    <xf numFmtId="0" fontId="12" fillId="3" borderId="0" xfId="0" applyFont="1" applyFill="1" applyAlignment="1" applyProtection="1">
      <alignment horizontal="right" wrapText="1"/>
      <protection locked="0"/>
    </xf>
    <xf numFmtId="1" fontId="12" fillId="3" borderId="0" xfId="1" applyNumberFormat="1" applyFont="1" applyFill="1" applyBorder="1" applyAlignment="1" applyProtection="1">
      <alignment horizontal="right"/>
      <protection locked="0"/>
    </xf>
    <xf numFmtId="43" fontId="12" fillId="3" borderId="3" xfId="3" applyFont="1" applyFill="1" applyBorder="1" applyAlignment="1" applyProtection="1">
      <alignment horizontal="right"/>
      <protection locked="0"/>
    </xf>
    <xf numFmtId="43" fontId="8" fillId="4" borderId="0" xfId="2" applyNumberFormat="1" applyFont="1" applyFill="1" applyBorder="1" applyAlignment="1" applyProtection="1">
      <alignment horizontal="right"/>
    </xf>
    <xf numFmtId="2" fontId="25" fillId="4" borderId="0" xfId="0" applyNumberFormat="1" applyFont="1" applyFill="1"/>
    <xf numFmtId="2" fontId="25" fillId="4" borderId="0" xfId="0" applyNumberFormat="1" applyFont="1" applyFill="1" applyAlignment="1">
      <alignment horizontal="left"/>
    </xf>
    <xf numFmtId="2" fontId="25" fillId="4" borderId="0" xfId="0" applyNumberFormat="1" applyFont="1" applyFill="1" applyAlignment="1">
      <alignment horizontal="center"/>
    </xf>
  </cellXfs>
  <cellStyles count="4">
    <cellStyle name="Eingabe" xfId="2" builtinId="20"/>
    <cellStyle name="Komma" xfId="3" builtinId="3"/>
    <cellStyle name="Prozent" xfId="1" builtinId="5"/>
    <cellStyle name="Standard" xfId="0" builtinId="0"/>
  </cellStyles>
  <dxfs count="16">
    <dxf>
      <border>
        <top style="thin">
          <color auto="1"/>
        </top>
        <vertical/>
        <horizontal/>
      </border>
    </dxf>
    <dxf>
      <font>
        <u val="none"/>
        <color auto="1"/>
      </font>
      <border>
        <left/>
        <right/>
        <top/>
        <bottom/>
        <vertical/>
        <horizontal/>
      </border>
    </dxf>
    <dxf>
      <font>
        <u/>
      </font>
    </dxf>
    <dxf>
      <border>
        <top style="thin">
          <color auto="1"/>
        </top>
        <vertical/>
        <horizontal/>
      </border>
    </dxf>
    <dxf>
      <font>
        <u val="none"/>
        <color auto="1"/>
      </font>
      <border>
        <left/>
        <right/>
        <top/>
        <bottom/>
        <vertical/>
        <horizontal/>
      </border>
    </dxf>
    <dxf>
      <font>
        <u/>
      </font>
    </dxf>
    <dxf>
      <border>
        <top style="thin">
          <color auto="1"/>
        </top>
        <vertical/>
        <horizontal/>
      </border>
    </dxf>
    <dxf>
      <font>
        <u val="none"/>
        <color auto="1"/>
      </font>
      <border>
        <left/>
        <right/>
        <top/>
        <bottom/>
        <vertical/>
        <horizontal/>
      </border>
    </dxf>
    <dxf>
      <font>
        <u/>
      </font>
    </dxf>
    <dxf>
      <border>
        <top style="thin">
          <color auto="1"/>
        </top>
        <vertical/>
        <horizontal/>
      </border>
    </dxf>
    <dxf>
      <font>
        <u val="none"/>
        <color auto="1"/>
      </font>
      <border>
        <left/>
        <right/>
        <top/>
        <bottom/>
        <vertical/>
        <horizontal/>
      </border>
    </dxf>
    <dxf>
      <font>
        <u/>
      </font>
    </dxf>
    <dxf>
      <font>
        <color theme="0"/>
      </font>
    </dxf>
    <dxf>
      <border>
        <top style="thin">
          <color auto="1"/>
        </top>
        <vertical/>
        <horizontal/>
      </border>
    </dxf>
    <dxf>
      <font>
        <u val="none"/>
        <color auto="1"/>
      </font>
      <border>
        <left/>
        <right/>
        <top/>
        <bottom/>
        <vertical/>
        <horizontal/>
      </border>
    </dxf>
    <dxf>
      <font>
        <u/>
      </font>
    </dxf>
  </dxfs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\AppData\Local\Microsoft\Windows\INetCache\Content.Outlook\BJGG0A9K\Geb&#252;hrenblatt_SEVO_WWR_Maur_20201201_finale_Fas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bührenblatt W, WG, KB"/>
      <sheetName val="Gebührenblatt G"/>
      <sheetName val="Gebührenblatt KA"/>
      <sheetName val="Gebührenblatt öB"/>
      <sheetName val="Hilfsblatt"/>
    </sheetNames>
    <sheetDataSet>
      <sheetData sheetId="0"/>
      <sheetData sheetId="1"/>
      <sheetData sheetId="2"/>
      <sheetData sheetId="3"/>
      <sheetData sheetId="4">
        <row r="15">
          <cell r="A15" t="str">
            <v>freistehende Wohnbauten mit/ohne Gewerbeanteil</v>
          </cell>
          <cell r="B15">
            <v>2</v>
          </cell>
          <cell r="C15" t="str">
            <v>Faktor a.</v>
          </cell>
        </row>
        <row r="16">
          <cell r="A16" t="str">
            <v>Wohnbauten mit/ohne Gewerbeanteil, zusammengebaut mit Ökonomieteil</v>
          </cell>
          <cell r="B16">
            <v>1</v>
          </cell>
          <cell r="C16" t="str">
            <v>Faktor b.</v>
          </cell>
        </row>
        <row r="17">
          <cell r="A17" t="str">
            <v>freistehende Ökonomiegebäude</v>
          </cell>
          <cell r="B17">
            <v>1</v>
          </cell>
          <cell r="C17" t="str">
            <v>Faktor c.</v>
          </cell>
        </row>
        <row r="23">
          <cell r="A23" t="str">
            <v>Nur Wasser</v>
          </cell>
        </row>
        <row r="24">
          <cell r="A24" t="str">
            <v>Nur Abwasser</v>
          </cell>
        </row>
        <row r="25">
          <cell r="A25" t="str">
            <v>Wasser und Abwasser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view="pageBreakPreview" zoomScale="115" zoomScaleNormal="40" zoomScaleSheetLayoutView="115" zoomScalePageLayoutView="85" workbookViewId="0">
      <selection activeCell="D31" sqref="D31 A4:B4 D22"/>
    </sheetView>
  </sheetViews>
  <sheetFormatPr baseColWidth="10" defaultRowHeight="15" outlineLevelRow="1" x14ac:dyDescent="0.25"/>
  <cols>
    <col min="1" max="1" width="10.85546875" customWidth="1"/>
    <col min="2" max="2" width="32.5703125" customWidth="1"/>
    <col min="3" max="3" width="21.7109375" customWidth="1"/>
    <col min="4" max="4" width="14.28515625" style="2" customWidth="1"/>
    <col min="5" max="5" width="14.85546875" customWidth="1"/>
    <col min="6" max="6" width="7.140625" style="4" customWidth="1"/>
    <col min="7" max="7" width="23.140625" bestFit="1" customWidth="1"/>
    <col min="8" max="8" width="12.7109375" customWidth="1"/>
  </cols>
  <sheetData>
    <row r="1" spans="1:8" s="1" customFormat="1" ht="25.5" x14ac:dyDescent="0.5">
      <c r="A1" s="10" t="s">
        <v>83</v>
      </c>
      <c r="B1" s="11"/>
      <c r="C1" s="11"/>
      <c r="D1" s="12"/>
      <c r="E1" s="11"/>
      <c r="F1" s="13"/>
      <c r="G1" s="11"/>
      <c r="H1" s="11"/>
    </row>
    <row r="2" spans="1:8" ht="16.5" x14ac:dyDescent="0.3">
      <c r="A2" s="42" t="s">
        <v>46</v>
      </c>
      <c r="B2" s="125" t="s">
        <v>47</v>
      </c>
      <c r="C2" s="125"/>
      <c r="D2" s="125"/>
      <c r="E2" s="125"/>
      <c r="F2" s="125"/>
      <c r="G2" s="14"/>
      <c r="H2" s="14"/>
    </row>
    <row r="3" spans="1:8" ht="16.5" x14ac:dyDescent="0.3">
      <c r="A3" s="42"/>
      <c r="B3" s="43"/>
      <c r="C3" s="43"/>
      <c r="D3" s="43"/>
      <c r="E3" s="43"/>
      <c r="F3" s="43"/>
      <c r="G3" s="14"/>
      <c r="H3" s="14"/>
    </row>
    <row r="4" spans="1:8" ht="16.5" x14ac:dyDescent="0.3">
      <c r="A4" s="128" t="s">
        <v>74</v>
      </c>
      <c r="B4" s="128"/>
      <c r="C4" s="43"/>
      <c r="D4" s="43"/>
      <c r="E4" s="43"/>
      <c r="F4" s="43"/>
      <c r="G4" s="14"/>
      <c r="H4" s="14"/>
    </row>
    <row r="5" spans="1:8" ht="16.5" x14ac:dyDescent="0.3">
      <c r="A5" s="14"/>
      <c r="B5" s="14"/>
      <c r="C5" s="14"/>
      <c r="D5" s="15"/>
      <c r="E5" s="14"/>
      <c r="F5" s="16"/>
      <c r="G5" s="14"/>
      <c r="H5" s="14"/>
    </row>
    <row r="6" spans="1:8" ht="33" x14ac:dyDescent="0.6">
      <c r="A6" s="17" t="s">
        <v>84</v>
      </c>
      <c r="B6" s="14"/>
      <c r="C6" s="14"/>
      <c r="D6" s="15"/>
      <c r="E6" s="14"/>
      <c r="F6" s="16"/>
      <c r="G6" s="14"/>
      <c r="H6" s="18"/>
    </row>
    <row r="7" spans="1:8" ht="16.5" customHeight="1" x14ac:dyDescent="0.3">
      <c r="A7" s="127" t="s">
        <v>6</v>
      </c>
      <c r="B7" s="16" t="s">
        <v>11</v>
      </c>
      <c r="C7" s="19"/>
      <c r="D7" s="20"/>
      <c r="E7" s="7" t="s">
        <v>35</v>
      </c>
      <c r="F7" s="21"/>
      <c r="G7" s="22" t="s">
        <v>14</v>
      </c>
      <c r="H7" s="126">
        <f>IF(OR('Gebührenblatt W, WG, KB'!E7=Hilfsblatt!A9,'Gebührenblatt W, WG, KB'!E7=Hilfsblatt!A10),Hilfsblatt!A19,Hilfsblatt!A20)</f>
        <v>0</v>
      </c>
    </row>
    <row r="8" spans="1:8" ht="16.5" x14ac:dyDescent="0.3">
      <c r="A8" s="127"/>
      <c r="B8" s="16" t="s">
        <v>12</v>
      </c>
      <c r="C8" s="19"/>
      <c r="D8" s="20"/>
      <c r="E8" s="8">
        <v>455</v>
      </c>
      <c r="F8" s="21"/>
      <c r="G8" s="22" t="s">
        <v>15</v>
      </c>
      <c r="H8" s="126"/>
    </row>
    <row r="9" spans="1:8" ht="16.5" x14ac:dyDescent="0.3">
      <c r="A9" s="23"/>
      <c r="B9" s="16" t="s">
        <v>55</v>
      </c>
      <c r="C9" s="19"/>
      <c r="D9" s="20"/>
      <c r="E9" s="24">
        <f>VLOOKUP($E$7,Hilfsblatt!$A$3:$D$13,4,FALSE)</f>
        <v>45</v>
      </c>
      <c r="F9" s="16" t="s">
        <v>10</v>
      </c>
      <c r="G9" s="22" t="s">
        <v>14</v>
      </c>
      <c r="H9" s="126"/>
    </row>
    <row r="10" spans="1:8" ht="16.5" x14ac:dyDescent="0.3">
      <c r="A10" s="14"/>
      <c r="B10" s="127" t="s">
        <v>56</v>
      </c>
      <c r="C10" s="127"/>
      <c r="D10" s="127"/>
      <c r="E10" s="52">
        <v>813</v>
      </c>
      <c r="F10" s="16" t="s">
        <v>61</v>
      </c>
      <c r="G10" s="22" t="s">
        <v>65</v>
      </c>
      <c r="H10" s="126"/>
    </row>
    <row r="11" spans="1:8" ht="16.5" x14ac:dyDescent="0.3">
      <c r="A11" s="25"/>
      <c r="B11" s="127" t="s">
        <v>57</v>
      </c>
      <c r="C11" s="127"/>
      <c r="D11" s="127"/>
      <c r="E11" s="52">
        <v>673</v>
      </c>
      <c r="F11" s="16" t="s">
        <v>61</v>
      </c>
      <c r="G11" s="22" t="s">
        <v>21</v>
      </c>
      <c r="H11" s="126"/>
    </row>
    <row r="12" spans="1:8" ht="16.5" x14ac:dyDescent="0.3">
      <c r="A12" s="14"/>
      <c r="B12" s="16" t="s">
        <v>13</v>
      </c>
      <c r="C12" s="23"/>
      <c r="D12" s="26"/>
      <c r="E12" s="53">
        <f>E9*E11/100</f>
        <v>302.85000000000002</v>
      </c>
      <c r="F12" s="16" t="s">
        <v>61</v>
      </c>
      <c r="G12" s="27" t="s">
        <v>22</v>
      </c>
      <c r="H12" s="18"/>
    </row>
    <row r="13" spans="1:8" ht="16.5" x14ac:dyDescent="0.3">
      <c r="A13" s="14"/>
      <c r="B13" s="124" t="s">
        <v>58</v>
      </c>
      <c r="C13" s="124"/>
      <c r="D13" s="124"/>
      <c r="E13" s="52">
        <v>146</v>
      </c>
      <c r="F13" s="16" t="s">
        <v>61</v>
      </c>
      <c r="G13" s="27" t="s">
        <v>21</v>
      </c>
      <c r="H13" s="18"/>
    </row>
    <row r="14" spans="1:8" ht="16.5" x14ac:dyDescent="0.3">
      <c r="A14" s="14"/>
      <c r="B14" s="16" t="s">
        <v>34</v>
      </c>
      <c r="C14" s="14"/>
      <c r="D14" s="26"/>
      <c r="E14" s="28">
        <f>E13/E12*100</f>
        <v>48.208684167079404</v>
      </c>
      <c r="F14" s="16" t="s">
        <v>10</v>
      </c>
      <c r="G14" s="27" t="s">
        <v>32</v>
      </c>
      <c r="H14" s="18"/>
    </row>
    <row r="15" spans="1:8" ht="17.25" thickBot="1" x14ac:dyDescent="0.35">
      <c r="A15" s="18"/>
      <c r="B15" s="14" t="s">
        <v>16</v>
      </c>
      <c r="C15" s="19"/>
      <c r="D15" s="29" t="s">
        <v>9</v>
      </c>
      <c r="E15" s="54">
        <f>ROUND((E10*E14/100),2)</f>
        <v>391.94</v>
      </c>
      <c r="F15" s="16" t="s">
        <v>61</v>
      </c>
      <c r="G15" s="27" t="s">
        <v>32</v>
      </c>
      <c r="H15" s="18"/>
    </row>
    <row r="16" spans="1:8" ht="16.5" x14ac:dyDescent="0.3">
      <c r="A16" s="18"/>
      <c r="B16" s="11" t="s">
        <v>31</v>
      </c>
      <c r="C16" s="19"/>
      <c r="D16" s="20"/>
      <c r="E16" s="55">
        <f>E10-E15</f>
        <v>421.06</v>
      </c>
      <c r="F16" s="16" t="s">
        <v>61</v>
      </c>
      <c r="G16" s="18"/>
      <c r="H16" s="18"/>
    </row>
    <row r="17" spans="1:13" ht="16.5" hidden="1" outlineLevel="1" x14ac:dyDescent="0.3">
      <c r="A17" s="67"/>
      <c r="B17" s="117"/>
      <c r="C17" s="118"/>
      <c r="D17" s="119"/>
      <c r="E17" s="120"/>
      <c r="F17" s="75"/>
      <c r="G17" s="67"/>
      <c r="H17" s="67"/>
      <c r="I17" s="67"/>
      <c r="J17" s="67"/>
      <c r="K17" s="67"/>
      <c r="L17" s="67"/>
      <c r="M17" s="67"/>
    </row>
    <row r="18" spans="1:13" ht="33" hidden="1" outlineLevel="1" x14ac:dyDescent="0.6">
      <c r="A18" s="86" t="s">
        <v>23</v>
      </c>
      <c r="B18" s="73"/>
      <c r="C18" s="73"/>
      <c r="D18" s="85"/>
      <c r="E18" s="73"/>
      <c r="F18" s="75"/>
      <c r="G18" s="73"/>
      <c r="H18" s="73"/>
      <c r="I18" s="67"/>
      <c r="J18" s="67"/>
      <c r="K18" s="67"/>
      <c r="L18" s="67"/>
      <c r="M18" s="67"/>
    </row>
    <row r="19" spans="1:13" ht="16.5" hidden="1" outlineLevel="1" x14ac:dyDescent="0.3">
      <c r="A19" s="87"/>
      <c r="B19" s="88"/>
      <c r="C19" s="88"/>
      <c r="D19" s="89"/>
      <c r="E19" s="90"/>
      <c r="F19" s="75"/>
      <c r="G19" s="73"/>
      <c r="H19" s="73"/>
      <c r="I19" s="67"/>
      <c r="J19" s="67"/>
      <c r="K19" s="67"/>
      <c r="L19" s="67"/>
      <c r="M19" s="67"/>
    </row>
    <row r="20" spans="1:13" ht="16.5" hidden="1" outlineLevel="1" x14ac:dyDescent="0.3">
      <c r="A20" s="87"/>
      <c r="B20" s="98" t="str">
        <f>E7</f>
        <v>W2/45</v>
      </c>
      <c r="C20" s="73" t="str">
        <f>VLOOKUP(B20,Hilfsblatt!$A$1:$C$11,3,FALSE)</f>
        <v>Faktor b.</v>
      </c>
      <c r="D20" s="99">
        <f>VLOOKUP(B20,Hilfsblatt!$A$1:$C$11,2,FALSE)</f>
        <v>1.5</v>
      </c>
      <c r="E20" s="90">
        <f>E16</f>
        <v>421.06</v>
      </c>
      <c r="F20" s="75" t="s">
        <v>61</v>
      </c>
      <c r="G20" s="100">
        <f>ROUND((D20*E20),2)</f>
        <v>631.59</v>
      </c>
      <c r="H20" s="75" t="s">
        <v>61</v>
      </c>
      <c r="I20" s="67"/>
      <c r="J20" s="67"/>
      <c r="K20" s="67"/>
      <c r="L20" s="67"/>
      <c r="M20" s="67"/>
    </row>
    <row r="21" spans="1:13" ht="16.5" hidden="1" outlineLevel="1" x14ac:dyDescent="0.3">
      <c r="A21" s="73"/>
      <c r="B21" s="73"/>
      <c r="C21" s="73"/>
      <c r="D21" s="101"/>
      <c r="E21" s="90"/>
      <c r="F21" s="75"/>
      <c r="G21" s="73"/>
      <c r="H21" s="73"/>
      <c r="I21" s="67"/>
      <c r="J21" s="67"/>
      <c r="K21" s="67"/>
      <c r="L21" s="67"/>
      <c r="M21" s="67"/>
    </row>
    <row r="22" spans="1:13" ht="16.5" hidden="1" outlineLevel="1" x14ac:dyDescent="0.3">
      <c r="A22" s="73"/>
      <c r="B22" s="73" t="s">
        <v>64</v>
      </c>
      <c r="C22" s="73"/>
      <c r="D22" s="74">
        <v>20</v>
      </c>
      <c r="E22" s="102">
        <f>G20</f>
        <v>631.59</v>
      </c>
      <c r="F22" s="75" t="s">
        <v>61</v>
      </c>
      <c r="G22" s="76">
        <f>SUM(D22*E22)</f>
        <v>12631.800000000001</v>
      </c>
      <c r="H22" s="73"/>
      <c r="I22" s="67"/>
      <c r="J22" s="67"/>
      <c r="K22" s="67"/>
      <c r="L22" s="67"/>
      <c r="M22" s="67"/>
    </row>
    <row r="23" spans="1:13" ht="16.5" hidden="1" outlineLevel="1" x14ac:dyDescent="0.3">
      <c r="A23" s="73"/>
      <c r="B23" s="103" t="s">
        <v>89</v>
      </c>
      <c r="C23" s="73"/>
      <c r="D23" s="78">
        <v>2.5999999999999999E-2</v>
      </c>
      <c r="E23" s="76"/>
      <c r="F23" s="75"/>
      <c r="G23" s="76">
        <f>SUM(G22*D23)</f>
        <v>328.42680000000001</v>
      </c>
      <c r="H23" s="73"/>
      <c r="I23" s="67"/>
      <c r="J23" s="69" t="s">
        <v>91</v>
      </c>
      <c r="K23" s="69"/>
      <c r="L23" s="69"/>
      <c r="M23" s="69"/>
    </row>
    <row r="24" spans="1:13" ht="16.5" hidden="1" outlineLevel="1" x14ac:dyDescent="0.3">
      <c r="A24" s="73"/>
      <c r="B24" s="73" t="s">
        <v>90</v>
      </c>
      <c r="C24" s="73"/>
      <c r="D24" s="78">
        <v>2.5999999999999999E-2</v>
      </c>
      <c r="E24" s="102"/>
      <c r="F24" s="75"/>
      <c r="G24" s="76">
        <f>IF(A4="Nur Wasser",ROUND((G22*D23)*2,1)/2,G23-L25)</f>
        <v>328.43000000000012</v>
      </c>
      <c r="H24" s="73"/>
      <c r="I24" s="67"/>
      <c r="J24" s="69" t="s">
        <v>86</v>
      </c>
      <c r="K24" s="69" t="s">
        <v>87</v>
      </c>
      <c r="L24" s="69" t="s">
        <v>88</v>
      </c>
      <c r="M24" s="69"/>
    </row>
    <row r="25" spans="1:13" s="3" customFormat="1" ht="20.25" hidden="1" outlineLevel="1" x14ac:dyDescent="0.35">
      <c r="A25" s="79"/>
      <c r="B25" s="123" t="s">
        <v>82</v>
      </c>
      <c r="C25" s="123"/>
      <c r="D25" s="123"/>
      <c r="E25" s="123"/>
      <c r="F25" s="123"/>
      <c r="G25" s="104">
        <f>G22+G24</f>
        <v>12960.230000000001</v>
      </c>
      <c r="H25" s="79"/>
      <c r="I25" s="68"/>
      <c r="J25" s="114">
        <f>G23+G32</f>
        <v>1607.3968</v>
      </c>
      <c r="K25" s="71">
        <f>ROUND((G23+G32)*2,1)/2</f>
        <v>1607.4</v>
      </c>
      <c r="L25" s="70">
        <f>J25-K25</f>
        <v>-3.200000000106229E-3</v>
      </c>
      <c r="M25" s="71"/>
    </row>
    <row r="26" spans="1:13" ht="16.5" hidden="1" outlineLevel="1" x14ac:dyDescent="0.3">
      <c r="A26" s="73"/>
      <c r="B26" s="73"/>
      <c r="C26" s="73"/>
      <c r="D26" s="85"/>
      <c r="E26" s="73"/>
      <c r="F26" s="75"/>
      <c r="G26" s="73"/>
      <c r="H26" s="73"/>
      <c r="I26" s="67"/>
      <c r="J26" s="67"/>
      <c r="K26" s="67"/>
      <c r="L26" s="67"/>
      <c r="M26" s="67"/>
    </row>
    <row r="27" spans="1:13" ht="33" hidden="1" outlineLevel="1" x14ac:dyDescent="0.6">
      <c r="A27" s="86" t="s">
        <v>24</v>
      </c>
      <c r="B27" s="73"/>
      <c r="C27" s="73"/>
      <c r="D27" s="85"/>
      <c r="E27" s="73"/>
      <c r="F27" s="75"/>
      <c r="G27" s="73"/>
      <c r="H27" s="73"/>
      <c r="I27" s="67"/>
      <c r="J27" s="67"/>
      <c r="K27" s="67"/>
      <c r="L27" s="67"/>
      <c r="M27" s="67"/>
    </row>
    <row r="28" spans="1:13" ht="16.5" hidden="1" outlineLevel="1" x14ac:dyDescent="0.3">
      <c r="A28" s="87"/>
      <c r="B28" s="88"/>
      <c r="C28" s="88"/>
      <c r="D28" s="89"/>
      <c r="E28" s="90"/>
      <c r="F28" s="75"/>
      <c r="G28" s="73"/>
      <c r="H28" s="73"/>
      <c r="I28" s="67"/>
      <c r="J28" s="67"/>
      <c r="K28" s="67"/>
      <c r="L28" s="67"/>
      <c r="M28" s="67"/>
    </row>
    <row r="29" spans="1:13" ht="16.5" hidden="1" outlineLevel="1" x14ac:dyDescent="0.3">
      <c r="A29" s="73"/>
      <c r="B29" s="98" t="str">
        <f>E7</f>
        <v>W2/45</v>
      </c>
      <c r="C29" s="73" t="str">
        <f>VLOOKUP(B29,Hilfsblatt!$A$1:$C$11,3,FALSE)</f>
        <v>Faktor b.</v>
      </c>
      <c r="D29" s="99">
        <f>VLOOKUP(B29,Hilfsblatt!$A$1:$C$11,2,FALSE)</f>
        <v>1.5</v>
      </c>
      <c r="E29" s="90">
        <f>E16</f>
        <v>421.06</v>
      </c>
      <c r="F29" s="75" t="s">
        <v>61</v>
      </c>
      <c r="G29" s="100">
        <f>ROUND((D29*E29),2)</f>
        <v>631.59</v>
      </c>
      <c r="H29" s="75" t="s">
        <v>61</v>
      </c>
      <c r="I29" s="67"/>
      <c r="J29" s="67"/>
      <c r="K29" s="67"/>
      <c r="L29" s="67"/>
      <c r="M29" s="67"/>
    </row>
    <row r="30" spans="1:13" ht="16.5" hidden="1" outlineLevel="1" x14ac:dyDescent="0.3">
      <c r="A30" s="73"/>
      <c r="B30" s="73"/>
      <c r="C30" s="73"/>
      <c r="D30" s="85"/>
      <c r="E30" s="90"/>
      <c r="F30" s="75"/>
      <c r="G30" s="73"/>
      <c r="H30" s="73"/>
      <c r="I30" s="67"/>
      <c r="J30" s="67"/>
      <c r="K30" s="67"/>
      <c r="L30" s="67"/>
      <c r="M30" s="67"/>
    </row>
    <row r="31" spans="1:13" ht="16.5" hidden="1" outlineLevel="1" x14ac:dyDescent="0.3">
      <c r="A31" s="73"/>
      <c r="B31" s="73" t="s">
        <v>64</v>
      </c>
      <c r="C31" s="73"/>
      <c r="D31" s="74">
        <v>25</v>
      </c>
      <c r="E31" s="102">
        <f>SUM(G29:G29)</f>
        <v>631.59</v>
      </c>
      <c r="F31" s="75" t="s">
        <v>61</v>
      </c>
      <c r="G31" s="76">
        <f>SUM(D31*E31)</f>
        <v>15789.75</v>
      </c>
      <c r="H31" s="73"/>
      <c r="I31" s="67"/>
      <c r="J31" s="67"/>
      <c r="K31" s="67"/>
      <c r="L31" s="67"/>
      <c r="M31" s="67"/>
    </row>
    <row r="32" spans="1:13" ht="16.5" hidden="1" outlineLevel="1" x14ac:dyDescent="0.3">
      <c r="A32" s="73"/>
      <c r="B32" s="77" t="s">
        <v>4</v>
      </c>
      <c r="C32" s="73"/>
      <c r="D32" s="78">
        <v>8.1000000000000003E-2</v>
      </c>
      <c r="E32" s="76"/>
      <c r="F32" s="75"/>
      <c r="G32" s="76">
        <f>IF(A4="Nur Abwasser",ROUND((G31*D32)*2,1)/2,ROUND((G31*D32),2))</f>
        <v>1278.97</v>
      </c>
      <c r="H32" s="73"/>
      <c r="I32" s="67"/>
      <c r="J32" s="67"/>
      <c r="K32" s="67"/>
      <c r="L32" s="67"/>
      <c r="M32" s="67"/>
    </row>
    <row r="33" spans="1:13" ht="20.25" hidden="1" outlineLevel="1" x14ac:dyDescent="0.35">
      <c r="A33" s="79"/>
      <c r="B33" s="123" t="s">
        <v>85</v>
      </c>
      <c r="C33" s="123"/>
      <c r="D33" s="123"/>
      <c r="E33" s="123"/>
      <c r="F33" s="123"/>
      <c r="G33" s="104">
        <f>G31+G32</f>
        <v>17068.72</v>
      </c>
      <c r="H33" s="73"/>
      <c r="I33" s="67"/>
      <c r="J33" s="67"/>
      <c r="K33" s="67"/>
      <c r="L33" s="67"/>
      <c r="M33" s="67"/>
    </row>
    <row r="34" spans="1:13" ht="16.5" hidden="1" outlineLevel="1" x14ac:dyDescent="0.3">
      <c r="A34" s="73"/>
      <c r="B34" s="73"/>
      <c r="C34" s="73"/>
      <c r="D34" s="85"/>
      <c r="E34" s="73"/>
      <c r="F34" s="75"/>
      <c r="G34" s="73"/>
      <c r="H34" s="73"/>
      <c r="I34" s="67"/>
      <c r="J34" s="67"/>
      <c r="K34" s="67"/>
      <c r="L34" s="67"/>
      <c r="M34" s="67"/>
    </row>
    <row r="35" spans="1:13" ht="33" hidden="1" outlineLevel="1" x14ac:dyDescent="0.6">
      <c r="A35" s="86" t="s">
        <v>76</v>
      </c>
      <c r="B35" s="73"/>
      <c r="C35" s="73"/>
      <c r="D35" s="85"/>
      <c r="E35" s="73"/>
      <c r="F35" s="75"/>
      <c r="G35" s="73"/>
      <c r="H35" s="73"/>
      <c r="I35" s="67"/>
      <c r="J35" s="67"/>
      <c r="K35" s="67"/>
      <c r="L35" s="67"/>
      <c r="M35" s="67"/>
    </row>
    <row r="36" spans="1:13" ht="16.5" hidden="1" outlineLevel="1" x14ac:dyDescent="0.3">
      <c r="A36" s="73"/>
      <c r="B36" s="73"/>
      <c r="C36" s="73"/>
      <c r="D36" s="85"/>
      <c r="E36" s="73"/>
      <c r="F36" s="75"/>
      <c r="G36" s="73"/>
      <c r="H36" s="73"/>
      <c r="I36" s="67"/>
      <c r="J36" s="67"/>
      <c r="K36" s="67"/>
      <c r="L36" s="67"/>
      <c r="M36" s="67"/>
    </row>
    <row r="37" spans="1:13" s="6" customFormat="1" ht="17.25" hidden="1" outlineLevel="1" x14ac:dyDescent="0.3">
      <c r="A37" s="91"/>
      <c r="B37" s="73" t="s">
        <v>80</v>
      </c>
      <c r="C37" s="73"/>
      <c r="D37" s="85"/>
      <c r="E37" s="73"/>
      <c r="F37" s="75"/>
      <c r="G37" s="76">
        <f>SUM(G25)</f>
        <v>12960.230000000001</v>
      </c>
      <c r="H37" s="91"/>
      <c r="I37" s="92"/>
      <c r="J37" s="92"/>
      <c r="K37" s="92"/>
      <c r="L37" s="92"/>
      <c r="M37" s="92"/>
    </row>
    <row r="38" spans="1:13" s="6" customFormat="1" ht="17.25" hidden="1" outlineLevel="1" x14ac:dyDescent="0.3">
      <c r="A38" s="91"/>
      <c r="B38" s="73" t="s">
        <v>81</v>
      </c>
      <c r="C38" s="73"/>
      <c r="D38" s="85"/>
      <c r="E38" s="73"/>
      <c r="F38" s="75"/>
      <c r="G38" s="76">
        <f>SUM(G33)</f>
        <v>17068.72</v>
      </c>
      <c r="H38" s="91"/>
      <c r="I38" s="92"/>
      <c r="J38" s="92"/>
      <c r="K38" s="92"/>
      <c r="L38" s="92"/>
      <c r="M38" s="92"/>
    </row>
    <row r="39" spans="1:13" s="5" customFormat="1" ht="20.25" hidden="1" outlineLevel="1" x14ac:dyDescent="0.35">
      <c r="A39" s="93"/>
      <c r="B39" s="123" t="s">
        <v>77</v>
      </c>
      <c r="C39" s="123"/>
      <c r="D39" s="123"/>
      <c r="E39" s="123"/>
      <c r="F39" s="123"/>
      <c r="G39" s="104">
        <f>G32+G31+G24+G22</f>
        <v>30028.950000000004</v>
      </c>
      <c r="H39" s="93"/>
      <c r="I39" s="97"/>
      <c r="J39" s="97"/>
      <c r="K39" s="97"/>
      <c r="L39" s="97"/>
      <c r="M39" s="97"/>
    </row>
    <row r="40" spans="1:13" ht="16.5" hidden="1" outlineLevel="1" x14ac:dyDescent="0.3">
      <c r="A40" s="73"/>
      <c r="B40" s="73"/>
      <c r="C40" s="73"/>
      <c r="D40" s="85"/>
      <c r="E40" s="73"/>
      <c r="F40" s="75"/>
      <c r="G40" s="73"/>
      <c r="H40" s="73"/>
      <c r="I40" s="67"/>
      <c r="J40" s="67"/>
      <c r="K40" s="67"/>
      <c r="L40" s="67"/>
      <c r="M40" s="67"/>
    </row>
    <row r="41" spans="1:13" ht="16.5" collapsed="1" x14ac:dyDescent="0.3">
      <c r="A41" s="14"/>
      <c r="B41" s="14"/>
      <c r="C41" s="14"/>
      <c r="D41" s="15"/>
      <c r="E41" s="14"/>
      <c r="F41" s="16"/>
      <c r="G41" s="14"/>
      <c r="H41" s="14"/>
    </row>
    <row r="42" spans="1:13" ht="33" x14ac:dyDescent="0.6">
      <c r="A42" s="17" t="str">
        <f>IF($A$4=Hilfsblatt!$A$23,'Gebührenblatt W, WG, KB'!A18,IF($A$4=Hilfsblatt!$A$24,'Gebührenblatt W, WG, KB'!A27,IF($A$4=Hilfsblatt!$A$25,'Gebührenblatt W, WG, KB'!A18," ")))</f>
        <v>Anschlussgebühr Wasser</v>
      </c>
      <c r="B42" s="14"/>
      <c r="C42" s="14"/>
      <c r="D42" s="15"/>
      <c r="E42" s="14"/>
      <c r="F42" s="16"/>
      <c r="G42" s="14"/>
      <c r="H42" s="14"/>
    </row>
    <row r="43" spans="1:13" ht="16.5" x14ac:dyDescent="0.3">
      <c r="A43" s="25"/>
      <c r="B43" s="44"/>
      <c r="C43" s="44"/>
      <c r="D43" s="30"/>
      <c r="E43" s="31"/>
      <c r="F43" s="16"/>
      <c r="G43" s="14"/>
      <c r="H43" s="14"/>
    </row>
    <row r="44" spans="1:13" ht="16.5" x14ac:dyDescent="0.3">
      <c r="A44" s="25"/>
      <c r="B44" s="32" t="str">
        <f>IF($A$4=Hilfsblatt!$A$23,'Gebührenblatt W, WG, KB'!B20,IF($A$4=Hilfsblatt!$A$24,'Gebührenblatt W, WG, KB'!B29,IF($A$4=Hilfsblatt!$A$25,'Gebührenblatt W, WG, KB'!B20," ")))</f>
        <v>W2/45</v>
      </c>
      <c r="C44" s="14" t="str">
        <f>IF($A$4=Hilfsblatt!$A$23,'Gebührenblatt W, WG, KB'!C20,IF($A$4=Hilfsblatt!$A$24,'Gebührenblatt W, WG, KB'!C29,IF($A$4=Hilfsblatt!$A$25,'Gebührenblatt W, WG, KB'!C20," ")))</f>
        <v>Faktor b.</v>
      </c>
      <c r="D44" s="33">
        <f>IF($A$4=Hilfsblatt!$A$23,'Gebührenblatt W, WG, KB'!D20,IF($A$4=Hilfsblatt!$A$24,'Gebührenblatt W, WG, KB'!D29,IF($A$4=Hilfsblatt!$A$25,'Gebührenblatt W, WG, KB'!D20," ")))</f>
        <v>1.5</v>
      </c>
      <c r="E44" s="121">
        <f>IF($A$4=Hilfsblatt!$A$23,'Gebührenblatt W, WG, KB'!E20,IF($A$4=Hilfsblatt!$A$24,'Gebührenblatt W, WG, KB'!E29,IF($A$4=Hilfsblatt!$A$25,'Gebührenblatt W, WG, KB'!E20," ")))</f>
        <v>421.06</v>
      </c>
      <c r="F44" s="16" t="str">
        <f>IF($A$4=Hilfsblatt!$A$23,'Gebührenblatt W, WG, KB'!F20,IF($A$4=Hilfsblatt!$A$24,'Gebührenblatt W, WG, KB'!F29,IF($A$4=Hilfsblatt!$A$25,'Gebührenblatt W, WG, KB'!F20," ")))</f>
        <v>m²</v>
      </c>
      <c r="G44" s="51">
        <f>IF($A$4=Hilfsblatt!$A$23,'Gebührenblatt W, WG, KB'!G20,IF($A$4=Hilfsblatt!$A$24,'Gebührenblatt W, WG, KB'!G29,IF($A$4=Hilfsblatt!$A$25,'Gebührenblatt W, WG, KB'!G20," ")))</f>
        <v>631.59</v>
      </c>
      <c r="H44" s="16" t="str">
        <f>IF($A$4=Hilfsblatt!$A$23,'Gebührenblatt W, WG, KB'!H20,IF($A$4=Hilfsblatt!$A$24,'Gebührenblatt W, WG, KB'!H29,IF($A$4=Hilfsblatt!$A$25,'Gebührenblatt W, WG, KB'!H20," ")))</f>
        <v>m²</v>
      </c>
    </row>
    <row r="45" spans="1:13" ht="16.5" x14ac:dyDescent="0.3">
      <c r="A45" s="14"/>
      <c r="B45" s="14"/>
      <c r="C45" s="14"/>
      <c r="D45" s="26"/>
      <c r="E45" s="31"/>
      <c r="F45" s="16"/>
      <c r="G45" s="14"/>
      <c r="H45" s="14"/>
    </row>
    <row r="46" spans="1:13" ht="16.5" x14ac:dyDescent="0.3">
      <c r="A46" s="14"/>
      <c r="B46" s="14" t="str">
        <f>IF($A$4=Hilfsblatt!$A$23,'Gebührenblatt W, WG, KB'!B22,IF($A$4=Hilfsblatt!$A$24,'Gebührenblatt W, WG, KB'!B31,IF($A$4=Hilfsblatt!$A$25,'Gebührenblatt W, WG, KB'!B22," ")))</f>
        <v>Anschlussgebühr pro m²</v>
      </c>
      <c r="C46" s="14"/>
      <c r="D46" s="34">
        <f>IF($A$4=Hilfsblatt!$A$23,'Gebührenblatt W, WG, KB'!D22,IF($A$4=Hilfsblatt!$A$24,'Gebührenblatt W, WG, KB'!D31,IF($A$4=Hilfsblatt!$A$25,'Gebührenblatt W, WG, KB'!D22," ")))</f>
        <v>20</v>
      </c>
      <c r="E46" s="45">
        <f>IF($A$4=Hilfsblatt!$A$23,'Gebührenblatt W, WG, KB'!E22,IF($A$4=Hilfsblatt!$A$24,'Gebührenblatt W, WG, KB'!E31,IF($A$4=Hilfsblatt!$A$25,'Gebührenblatt W, WG, KB'!E22," ")))</f>
        <v>631.59</v>
      </c>
      <c r="F46" s="16" t="str">
        <f>IF($A$4=Hilfsblatt!$A$23,'Gebührenblatt W, WG, KB'!F22,IF($A$4=Hilfsblatt!$A$24,'Gebührenblatt W, WG, KB'!F31,IF($A$4=Hilfsblatt!$A$25,'Gebührenblatt W, WG, KB'!F22," ")))</f>
        <v>m²</v>
      </c>
      <c r="G46" s="35">
        <f>IF($A$4=Hilfsblatt!$A$23,'Gebührenblatt W, WG, KB'!G22,IF($A$4=Hilfsblatt!$A$24,'Gebührenblatt W, WG, KB'!G31,IF($A$4=Hilfsblatt!$A$25,'Gebührenblatt W, WG, KB'!G22," ")))</f>
        <v>12631.800000000001</v>
      </c>
      <c r="H46" s="14"/>
    </row>
    <row r="47" spans="1:13" ht="16.5" x14ac:dyDescent="0.3">
      <c r="A47" s="14"/>
      <c r="B47" s="23" t="str">
        <f>IF($A$4=Hilfsblatt!$A$23,'Gebührenblatt W, WG, KB'!B24,IF($A$4=Hilfsblatt!$A$24,'Gebührenblatt W, WG, KB'!B32,IF($A$4=Hilfsblatt!$A$25,'Gebührenblatt W, WG, KB'!B24," ")))</f>
        <v>Mehrwertsteuer</v>
      </c>
      <c r="C47" s="14"/>
      <c r="D47" s="36">
        <f>IF($A$4=Hilfsblatt!$A$23,'Gebührenblatt W, WG, KB'!D24,IF($A$4=Hilfsblatt!$A$24,'Gebührenblatt W, WG, KB'!D32,IF($A$4=Hilfsblatt!$A$25,'Gebührenblatt W, WG, KB'!D24," ")))</f>
        <v>2.5999999999999999E-2</v>
      </c>
      <c r="E47" s="35"/>
      <c r="F47" s="16"/>
      <c r="G47" s="35">
        <f>IF($A$4=Hilfsblatt!$A$23,'Gebührenblatt W, WG, KB'!G24,IF($A$4=Hilfsblatt!$A$24,'Gebührenblatt W, WG, KB'!G32,IF($A$4=Hilfsblatt!$A$25,'Gebührenblatt W, WG, KB'!G24," ")))</f>
        <v>328.43000000000012</v>
      </c>
      <c r="H47" s="14"/>
    </row>
    <row r="48" spans="1:13" ht="20.25" x14ac:dyDescent="0.35">
      <c r="A48" s="37"/>
      <c r="B48" s="122" t="str">
        <f>IF($A$4=Hilfsblatt!$A$23,'Gebührenblatt W, WG, KB'!B25,IF($A$4=Hilfsblatt!$A$24,'Gebührenblatt W, WG, KB'!B33,IF($A$4=Hilfsblatt!$A$25,'Gebührenblatt W, WG, KB'!B25," ")))</f>
        <v>Total Anschlussgebühren Wasser inkl. MwSt.</v>
      </c>
      <c r="C48" s="122"/>
      <c r="D48" s="122"/>
      <c r="E48" s="122"/>
      <c r="F48" s="122"/>
      <c r="G48" s="59">
        <f>IF($A$4=Hilfsblatt!$A$23,'Gebührenblatt W, WG, KB'!G25,IF($A$4=Hilfsblatt!$A$24,'Gebührenblatt W, WG, KB'!G33,IF($A$4=Hilfsblatt!$A$25,'Gebührenblatt W, WG, KB'!G25," ")))</f>
        <v>12960.230000000001</v>
      </c>
      <c r="H48" s="37"/>
    </row>
    <row r="49" spans="1:8" ht="22.5" customHeight="1" x14ac:dyDescent="0.3">
      <c r="A49" s="14"/>
      <c r="B49" s="14"/>
      <c r="C49" s="14"/>
      <c r="D49" s="15"/>
      <c r="E49" s="14"/>
      <c r="F49" s="16"/>
      <c r="G49" s="14"/>
      <c r="H49" s="14"/>
    </row>
    <row r="50" spans="1:8" ht="33" x14ac:dyDescent="0.6">
      <c r="A50" s="17" t="str">
        <f>IF($A$4=Hilfsblatt!$A$25,'Gebührenblatt W, WG, KB'!A27," ")</f>
        <v>Anschlussgebühr Abwasser</v>
      </c>
      <c r="B50" s="14"/>
      <c r="C50" s="14"/>
      <c r="D50" s="15"/>
      <c r="E50" s="14"/>
      <c r="F50" s="16"/>
      <c r="G50" s="14"/>
      <c r="H50" s="14"/>
    </row>
    <row r="51" spans="1:8" ht="16.5" x14ac:dyDescent="0.3">
      <c r="A51" s="25"/>
      <c r="B51" s="44"/>
      <c r="C51" s="44"/>
      <c r="D51" s="30"/>
      <c r="E51" s="31"/>
      <c r="F51" s="16"/>
      <c r="G51" s="14"/>
      <c r="H51" s="14"/>
    </row>
    <row r="52" spans="1:8" ht="16.5" x14ac:dyDescent="0.3">
      <c r="A52" s="25"/>
      <c r="B52" s="32" t="str">
        <f>IF($A$4=Hilfsblatt!$A$25,'Gebührenblatt W, WG, KB'!B29," ")</f>
        <v>W2/45</v>
      </c>
      <c r="C52" s="14" t="str">
        <f>IF($A$4=Hilfsblatt!$A$25,'Gebührenblatt W, WG, KB'!C29," ")</f>
        <v>Faktor b.</v>
      </c>
      <c r="D52" s="33">
        <f>IF($A$4=Hilfsblatt!$A$25,'Gebührenblatt W, WG, KB'!D29," ")</f>
        <v>1.5</v>
      </c>
      <c r="E52" s="31">
        <f>IF($A$4=Hilfsblatt!$A$25,'Gebührenblatt W, WG, KB'!E29," ")</f>
        <v>421.06</v>
      </c>
      <c r="F52" s="16" t="str">
        <f>IF($A$4=Hilfsblatt!$A$25,'Gebührenblatt W, WG, KB'!F29," ")</f>
        <v>m²</v>
      </c>
      <c r="G52" s="51">
        <f>IF($A$4=Hilfsblatt!$A$25,'Gebührenblatt W, WG, KB'!G29," ")</f>
        <v>631.59</v>
      </c>
      <c r="H52" s="16" t="str">
        <f>IF($A$4=Hilfsblatt!$A$25,'Gebührenblatt W, WG, KB'!H29," ")</f>
        <v>m²</v>
      </c>
    </row>
    <row r="53" spans="1:8" ht="16.5" x14ac:dyDescent="0.3">
      <c r="A53" s="14"/>
      <c r="B53" s="14"/>
      <c r="C53" s="14"/>
      <c r="D53" s="26"/>
      <c r="E53" s="31"/>
      <c r="F53" s="16"/>
      <c r="G53" s="14"/>
      <c r="H53" s="14"/>
    </row>
    <row r="54" spans="1:8" ht="16.5" x14ac:dyDescent="0.3">
      <c r="A54" s="14"/>
      <c r="B54" s="14" t="str">
        <f>IF($A$4=Hilfsblatt!$A$25,'Gebührenblatt W, WG, KB'!B31," ")</f>
        <v>Anschlussgebühr pro m²</v>
      </c>
      <c r="C54" s="14"/>
      <c r="D54" s="34">
        <f>IF($A$4=Hilfsblatt!$A$25,'Gebührenblatt W, WG, KB'!D31," ")</f>
        <v>25</v>
      </c>
      <c r="E54" s="31">
        <f>IF($A$4=Hilfsblatt!$A$25,'Gebührenblatt W, WG, KB'!E31," ")</f>
        <v>631.59</v>
      </c>
      <c r="F54" s="16" t="str">
        <f>IF($A$4=Hilfsblatt!$A$25,'Gebührenblatt W, WG, KB'!F31," ")</f>
        <v>m²</v>
      </c>
      <c r="G54" s="35">
        <f>IF($A$4=Hilfsblatt!$A$25,'Gebührenblatt W, WG, KB'!G31," ")</f>
        <v>15789.75</v>
      </c>
      <c r="H54" s="14"/>
    </row>
    <row r="55" spans="1:8" ht="16.5" x14ac:dyDescent="0.3">
      <c r="A55" s="14"/>
      <c r="B55" s="23" t="str">
        <f>IF($A$4=Hilfsblatt!$A$25,'Gebührenblatt W, WG, KB'!B32," ")</f>
        <v xml:space="preserve">Mehrwertsteuer </v>
      </c>
      <c r="C55" s="14"/>
      <c r="D55" s="36">
        <f>IF($A$4=Hilfsblatt!$A$25,'Gebührenblatt W, WG, KB'!D32," ")</f>
        <v>8.1000000000000003E-2</v>
      </c>
      <c r="E55" s="35"/>
      <c r="F55" s="16"/>
      <c r="G55" s="35">
        <f>IF($A$4=Hilfsblatt!$A$25,'Gebührenblatt W, WG, KB'!G32," ")</f>
        <v>1278.97</v>
      </c>
      <c r="H55" s="14"/>
    </row>
    <row r="56" spans="1:8" ht="20.25" x14ac:dyDescent="0.35">
      <c r="A56" s="37"/>
      <c r="B56" s="122" t="str">
        <f>IF($A$4=Hilfsblatt!$A$25,'Gebührenblatt W, WG, KB'!B33," ")</f>
        <v xml:space="preserve">Total Anschlussgebühren Abwasser inkl. MwSt. </v>
      </c>
      <c r="C56" s="122"/>
      <c r="D56" s="122"/>
      <c r="E56" s="122"/>
      <c r="F56" s="122"/>
      <c r="G56" s="59">
        <f>IF($A$4=Hilfsblatt!$A$25,'Gebührenblatt W, WG, KB'!G33," ")</f>
        <v>17068.72</v>
      </c>
      <c r="H56" s="14"/>
    </row>
    <row r="57" spans="1:8" ht="22.5" customHeight="1" x14ac:dyDescent="0.3">
      <c r="A57" s="14"/>
      <c r="B57" s="38"/>
      <c r="C57" s="38"/>
      <c r="D57" s="56"/>
      <c r="E57" s="38"/>
      <c r="F57" s="57"/>
      <c r="G57" s="38"/>
      <c r="H57" s="14"/>
    </row>
    <row r="58" spans="1:8" ht="33" x14ac:dyDescent="0.6">
      <c r="A58" s="17" t="str">
        <f>IF($A$4=Hilfsblatt!$A$25,'Gebührenblatt W, WG, KB'!A35," ")</f>
        <v>Anschlussgebühren Total</v>
      </c>
      <c r="B58" s="38"/>
      <c r="C58" s="38"/>
      <c r="D58" s="56"/>
      <c r="E58" s="38"/>
      <c r="F58" s="57"/>
      <c r="G58" s="38"/>
      <c r="H58" s="14"/>
    </row>
    <row r="59" spans="1:8" ht="17.25" x14ac:dyDescent="0.3">
      <c r="A59" s="14"/>
      <c r="B59" s="38"/>
      <c r="C59" s="38"/>
      <c r="D59" s="56"/>
      <c r="E59" s="38"/>
      <c r="F59" s="57"/>
      <c r="G59" s="38"/>
      <c r="H59" s="14"/>
    </row>
    <row r="60" spans="1:8" ht="17.25" x14ac:dyDescent="0.3">
      <c r="A60" s="38"/>
      <c r="B60" s="14" t="str">
        <f>IF($A$4=Hilfsblatt!$A$25,'Gebührenblatt W, WG, KB'!B37," ")</f>
        <v xml:space="preserve">Total Anschlussgebühren Wasser inkl. MwSt. </v>
      </c>
      <c r="C60" s="14"/>
      <c r="D60" s="15"/>
      <c r="E60" s="14"/>
      <c r="F60" s="16"/>
      <c r="G60" s="35">
        <f>IF($A$4=Hilfsblatt!$A$25,'Gebührenblatt W, WG, KB'!G37," ")</f>
        <v>12960.230000000001</v>
      </c>
      <c r="H60" s="38"/>
    </row>
    <row r="61" spans="1:8" ht="17.25" x14ac:dyDescent="0.3">
      <c r="A61" s="38"/>
      <c r="B61" s="14" t="str">
        <f>IF($A$4=Hilfsblatt!$A$25,'Gebührenblatt W, WG, KB'!B38," ")</f>
        <v>Total Anschlussgebühren Abwasser inkl. MwSt.</v>
      </c>
      <c r="C61" s="14"/>
      <c r="D61" s="15"/>
      <c r="E61" s="14"/>
      <c r="F61" s="16"/>
      <c r="G61" s="35">
        <f>IF($A$4=Hilfsblatt!$A$25,'Gebührenblatt W, WG, KB'!G38," ")</f>
        <v>17068.72</v>
      </c>
      <c r="H61" s="38"/>
    </row>
    <row r="62" spans="1:8" ht="20.25" x14ac:dyDescent="0.35">
      <c r="A62" s="39"/>
      <c r="B62" s="122" t="str">
        <f>IF($A$4=Hilfsblatt!$A$25,'Gebührenblatt W, WG, KB'!B39," ")</f>
        <v>Total Anschlussgebühren Wasser + Abwasser inkl. MwSt.</v>
      </c>
      <c r="C62" s="122"/>
      <c r="D62" s="122"/>
      <c r="E62" s="122"/>
      <c r="F62" s="122"/>
      <c r="G62" s="60">
        <f>IF($A$4=Hilfsblatt!$A$25,'Gebührenblatt W, WG, KB'!G39," ")</f>
        <v>30028.950000000004</v>
      </c>
      <c r="H62" s="39"/>
    </row>
    <row r="63" spans="1:8" ht="16.5" x14ac:dyDescent="0.3">
      <c r="A63" s="14"/>
      <c r="B63" s="14"/>
      <c r="C63" s="14"/>
      <c r="D63" s="15"/>
      <c r="E63" s="14"/>
      <c r="F63" s="16"/>
      <c r="G63" s="14"/>
      <c r="H63" s="58"/>
    </row>
    <row r="64" spans="1:8" x14ac:dyDescent="0.25">
      <c r="A64" s="18"/>
      <c r="B64" s="18"/>
      <c r="C64" s="18"/>
      <c r="D64" s="40"/>
      <c r="E64" s="18"/>
      <c r="F64" s="21"/>
      <c r="G64" s="18"/>
      <c r="H64" s="18"/>
    </row>
    <row r="65" spans="1:8" x14ac:dyDescent="0.25">
      <c r="A65" s="18"/>
      <c r="B65" s="18"/>
      <c r="C65" s="18"/>
      <c r="D65" s="40"/>
      <c r="E65" s="18"/>
      <c r="F65" s="21"/>
      <c r="G65" s="18"/>
      <c r="H65" s="18"/>
    </row>
    <row r="66" spans="1:8" x14ac:dyDescent="0.25">
      <c r="A66" s="18"/>
      <c r="B66" s="18"/>
      <c r="C66" s="18"/>
      <c r="D66" s="40"/>
      <c r="E66" s="18"/>
      <c r="F66" s="21"/>
      <c r="G66" s="18"/>
      <c r="H66" s="18"/>
    </row>
    <row r="67" spans="1:8" x14ac:dyDescent="0.25">
      <c r="A67" s="18"/>
      <c r="B67" s="18"/>
      <c r="C67" s="18"/>
      <c r="D67" s="40"/>
      <c r="E67" s="18"/>
      <c r="F67" s="21"/>
      <c r="G67" s="18"/>
      <c r="H67" s="18"/>
    </row>
    <row r="68" spans="1:8" x14ac:dyDescent="0.25">
      <c r="A68" s="18"/>
      <c r="B68" s="18"/>
      <c r="C68" s="18"/>
      <c r="D68" s="40"/>
      <c r="E68" s="18"/>
      <c r="F68" s="21"/>
      <c r="G68" s="18"/>
      <c r="H68" s="18"/>
    </row>
    <row r="69" spans="1:8" x14ac:dyDescent="0.25">
      <c r="A69" s="18"/>
      <c r="B69" s="18"/>
      <c r="C69" s="18"/>
      <c r="D69" s="40"/>
      <c r="E69" s="18"/>
      <c r="F69" s="21"/>
      <c r="G69" s="18"/>
      <c r="H69" s="18"/>
    </row>
    <row r="70" spans="1:8" x14ac:dyDescent="0.25">
      <c r="A70" s="18"/>
      <c r="B70" s="18"/>
      <c r="C70" s="18"/>
      <c r="D70" s="40"/>
      <c r="E70" s="18"/>
      <c r="F70" s="21"/>
      <c r="G70" s="18"/>
      <c r="H70" s="18"/>
    </row>
    <row r="71" spans="1:8" x14ac:dyDescent="0.25">
      <c r="A71" s="18"/>
      <c r="B71" s="18"/>
      <c r="C71" s="18"/>
      <c r="D71" s="40"/>
      <c r="E71" s="18"/>
      <c r="F71" s="21"/>
      <c r="G71" s="18"/>
      <c r="H71" s="18"/>
    </row>
    <row r="72" spans="1:8" x14ac:dyDescent="0.25">
      <c r="A72" s="18"/>
      <c r="B72" s="18"/>
      <c r="C72" s="18"/>
      <c r="D72" s="40"/>
      <c r="E72" s="18"/>
      <c r="F72" s="21"/>
      <c r="G72" s="18"/>
      <c r="H72" s="18"/>
    </row>
    <row r="73" spans="1:8" x14ac:dyDescent="0.25">
      <c r="A73" s="18"/>
      <c r="B73" s="18"/>
      <c r="C73" s="18"/>
      <c r="D73" s="40"/>
      <c r="E73" s="18"/>
      <c r="F73" s="21"/>
      <c r="G73" s="18"/>
      <c r="H73" s="18"/>
    </row>
    <row r="74" spans="1:8" x14ac:dyDescent="0.25">
      <c r="A74" s="18"/>
      <c r="B74" s="18"/>
      <c r="C74" s="18"/>
      <c r="D74" s="40"/>
      <c r="E74" s="18"/>
      <c r="F74" s="21"/>
      <c r="G74" s="18"/>
      <c r="H74" s="18"/>
    </row>
    <row r="75" spans="1:8" x14ac:dyDescent="0.25">
      <c r="A75" s="18"/>
      <c r="B75" s="18"/>
      <c r="C75" s="18"/>
      <c r="D75" s="40"/>
      <c r="E75" s="18"/>
      <c r="F75" s="21"/>
      <c r="G75" s="18"/>
      <c r="H75" s="18"/>
    </row>
    <row r="76" spans="1:8" x14ac:dyDescent="0.25">
      <c r="A76" s="18"/>
      <c r="B76" s="18"/>
      <c r="C76" s="18"/>
      <c r="D76" s="40"/>
      <c r="E76" s="18"/>
      <c r="F76" s="21"/>
      <c r="G76" s="18"/>
      <c r="H76" s="18"/>
    </row>
    <row r="77" spans="1:8" x14ac:dyDescent="0.25">
      <c r="A77" s="18"/>
      <c r="B77" s="18"/>
      <c r="C77" s="18"/>
      <c r="D77" s="40"/>
      <c r="E77" s="18"/>
      <c r="F77" s="21"/>
      <c r="G77" s="18"/>
      <c r="H77" s="18"/>
    </row>
    <row r="78" spans="1:8" x14ac:dyDescent="0.25">
      <c r="A78" s="18"/>
      <c r="B78" s="18"/>
      <c r="C78" s="18"/>
      <c r="D78" s="40"/>
      <c r="E78" s="18"/>
      <c r="F78" s="21"/>
      <c r="G78" s="18"/>
      <c r="H78" s="18"/>
    </row>
    <row r="79" spans="1:8" x14ac:dyDescent="0.25">
      <c r="A79" s="18"/>
      <c r="B79" s="18"/>
      <c r="C79" s="18"/>
      <c r="D79" s="40"/>
      <c r="E79" s="18"/>
      <c r="F79" s="21"/>
      <c r="G79" s="18"/>
      <c r="H79" s="18"/>
    </row>
    <row r="80" spans="1:8" x14ac:dyDescent="0.25">
      <c r="A80" s="18"/>
      <c r="B80" s="18"/>
      <c r="C80" s="18"/>
      <c r="D80" s="40"/>
      <c r="E80" s="18"/>
      <c r="F80" s="21"/>
      <c r="G80" s="18"/>
      <c r="H80" s="18"/>
    </row>
    <row r="81" spans="1:8" x14ac:dyDescent="0.25">
      <c r="A81" s="18"/>
      <c r="B81" s="18"/>
      <c r="C81" s="18"/>
      <c r="D81" s="40"/>
      <c r="E81" s="18"/>
      <c r="F81" s="21"/>
      <c r="G81" s="18"/>
      <c r="H81" s="18"/>
    </row>
    <row r="82" spans="1:8" x14ac:dyDescent="0.25">
      <c r="A82" s="18"/>
      <c r="B82" s="18"/>
      <c r="C82" s="18"/>
      <c r="D82" s="40"/>
      <c r="E82" s="18"/>
      <c r="F82" s="21"/>
      <c r="G82" s="18"/>
      <c r="H82" s="18"/>
    </row>
    <row r="83" spans="1:8" x14ac:dyDescent="0.25">
      <c r="A83" s="18"/>
      <c r="B83" s="18"/>
      <c r="C83" s="18"/>
      <c r="D83" s="40"/>
      <c r="E83" s="18"/>
      <c r="F83" s="21"/>
      <c r="G83" s="18"/>
      <c r="H83" s="18"/>
    </row>
    <row r="84" spans="1:8" x14ac:dyDescent="0.25">
      <c r="A84" s="18"/>
      <c r="B84" s="18"/>
      <c r="C84" s="18"/>
      <c r="D84" s="40"/>
      <c r="E84" s="18"/>
      <c r="F84" s="21"/>
      <c r="G84" s="18"/>
      <c r="H84" s="18"/>
    </row>
    <row r="85" spans="1:8" x14ac:dyDescent="0.25">
      <c r="A85" s="18"/>
      <c r="B85" s="18"/>
      <c r="C85" s="18"/>
      <c r="D85" s="40"/>
      <c r="E85" s="18"/>
      <c r="F85" s="21"/>
      <c r="G85" s="18"/>
      <c r="H85" s="18"/>
    </row>
    <row r="86" spans="1:8" x14ac:dyDescent="0.25">
      <c r="A86" s="18"/>
      <c r="B86" s="18"/>
      <c r="C86" s="18"/>
      <c r="D86" s="40"/>
      <c r="E86" s="18"/>
      <c r="F86" s="21"/>
      <c r="G86" s="18"/>
      <c r="H86" s="18"/>
    </row>
    <row r="87" spans="1:8" x14ac:dyDescent="0.25">
      <c r="A87" s="18"/>
      <c r="B87" s="18"/>
      <c r="C87" s="18"/>
      <c r="D87" s="40"/>
      <c r="E87" s="18"/>
      <c r="F87" s="21"/>
      <c r="G87" s="18"/>
      <c r="H87" s="18"/>
    </row>
    <row r="88" spans="1:8" x14ac:dyDescent="0.25">
      <c r="A88" s="18"/>
      <c r="B88" s="18"/>
      <c r="C88" s="18"/>
      <c r="D88" s="40"/>
      <c r="E88" s="18"/>
      <c r="F88" s="21"/>
      <c r="G88" s="18"/>
      <c r="H88" s="18"/>
    </row>
    <row r="89" spans="1:8" x14ac:dyDescent="0.25">
      <c r="A89" s="18"/>
      <c r="B89" s="18"/>
      <c r="C89" s="18"/>
      <c r="D89" s="40"/>
      <c r="E89" s="18"/>
      <c r="F89" s="21"/>
      <c r="G89" s="18"/>
      <c r="H89" s="18"/>
    </row>
    <row r="90" spans="1:8" x14ac:dyDescent="0.25">
      <c r="A90" s="18"/>
      <c r="B90" s="18"/>
      <c r="C90" s="18"/>
      <c r="D90" s="40"/>
      <c r="E90" s="18"/>
      <c r="F90" s="21"/>
      <c r="G90" s="18"/>
      <c r="H90" s="18"/>
    </row>
    <row r="91" spans="1:8" x14ac:dyDescent="0.25">
      <c r="A91" s="18"/>
      <c r="B91" s="18"/>
      <c r="C91" s="18"/>
      <c r="D91" s="40"/>
      <c r="E91" s="18"/>
      <c r="F91" s="21"/>
      <c r="G91" s="18"/>
      <c r="H91" s="18"/>
    </row>
  </sheetData>
  <sheetProtection algorithmName="SHA-512" hashValue="0FFUULAujHTTfFEpeyptEWsMZytgWkuQrgAcKR0w63ji4RGVQTFO7n0MVSlLVfPU4f5Y8cUB58IrPv0Ar+nIxA==" saltValue="XM0XFv52UZZvsjXgeHzKCQ==" spinCount="100000" sheet="1" objects="1" scenarios="1"/>
  <mergeCells count="13">
    <mergeCell ref="B13:D13"/>
    <mergeCell ref="B2:F2"/>
    <mergeCell ref="H7:H11"/>
    <mergeCell ref="A7:A8"/>
    <mergeCell ref="B11:D11"/>
    <mergeCell ref="B10:D10"/>
    <mergeCell ref="A4:B4"/>
    <mergeCell ref="B62:F62"/>
    <mergeCell ref="B25:F25"/>
    <mergeCell ref="B33:F33"/>
    <mergeCell ref="B39:F39"/>
    <mergeCell ref="B48:F48"/>
    <mergeCell ref="B56:F56"/>
  </mergeCells>
  <conditionalFormatting sqref="A50:C50 A58:C58">
    <cfRule type="containsText" dxfId="15" priority="1" operator="containsText" text="Anschluss">
      <formula>NOT(ISERROR(SEARCH("Anschluss",A50)))</formula>
    </cfRule>
  </conditionalFormatting>
  <conditionalFormatting sqref="A50:G63">
    <cfRule type="containsText" dxfId="14" priority="3" operator="containsText" text=" ">
      <formula>NOT(ISERROR(SEARCH(" ",A50)))</formula>
    </cfRule>
  </conditionalFormatting>
  <conditionalFormatting sqref="B56:F56 B62:F62">
    <cfRule type="containsText" dxfId="13" priority="2" operator="containsText" text="Total">
      <formula>NOT(ISERROR(SEARCH("Total",B56)))</formula>
    </cfRule>
  </conditionalFormatting>
  <conditionalFormatting sqref="H7:H11">
    <cfRule type="cellIs" dxfId="12" priority="13" operator="equal">
      <formula>0</formula>
    </cfRule>
  </conditionalFormatting>
  <pageMargins left="0.7" right="0.7" top="0.78740157499999996" bottom="0.78740157499999996" header="0.3" footer="0.3"/>
  <pageSetup paperSize="9" scale="63" orientation="portrait" r:id="rId1"/>
  <headerFooter>
    <oddFooter>&amp;L&amp;Z&amp;F&amp;F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98B63D-BC3A-46EF-98E5-4C5BEE24EFF1}">
          <x14:formula1>
            <xm:f>Hilfsblatt!$A$22:$A$25</xm:f>
          </x14:formula1>
          <xm:sqref>A4</xm:sqref>
        </x14:dataValidation>
        <x14:dataValidation type="list" allowBlank="1" showInputMessage="1" showErrorMessage="1" xr:uid="{4D2A6074-DBCB-4FCA-A6D8-8F8C2767D289}">
          <x14:formula1>
            <xm:f>Hilfsblatt!$A3:$A11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view="pageBreakPreview" topLeftCell="A42" zoomScale="115" zoomScaleNormal="100" zoomScaleSheetLayoutView="115" zoomScalePageLayoutView="70" workbookViewId="0">
      <selection activeCell="A17" sqref="A17:XFD40"/>
    </sheetView>
  </sheetViews>
  <sheetFormatPr baseColWidth="10" defaultRowHeight="15" outlineLevelRow="1" x14ac:dyDescent="0.25"/>
  <cols>
    <col min="1" max="1" width="10.85546875" customWidth="1"/>
    <col min="2" max="2" width="32.5703125" customWidth="1"/>
    <col min="3" max="3" width="21.7109375" customWidth="1"/>
    <col min="4" max="4" width="14.28515625" style="2" customWidth="1"/>
    <col min="5" max="5" width="16" customWidth="1"/>
    <col min="6" max="6" width="7.140625" style="4" customWidth="1"/>
    <col min="7" max="7" width="20.140625" customWidth="1"/>
    <col min="8" max="8" width="11.28515625" customWidth="1"/>
  </cols>
  <sheetData>
    <row r="1" spans="1:8" s="1" customFormat="1" ht="25.5" x14ac:dyDescent="0.5">
      <c r="A1" s="10" t="s">
        <v>83</v>
      </c>
      <c r="B1" s="11"/>
      <c r="C1" s="11"/>
      <c r="D1" s="12"/>
      <c r="E1" s="11"/>
      <c r="F1" s="13"/>
      <c r="G1" s="11"/>
      <c r="H1" s="11"/>
    </row>
    <row r="2" spans="1:8" ht="16.5" x14ac:dyDescent="0.3">
      <c r="A2" s="42" t="s">
        <v>46</v>
      </c>
      <c r="B2" s="125" t="s">
        <v>47</v>
      </c>
      <c r="C2" s="125"/>
      <c r="D2" s="125"/>
      <c r="E2" s="125"/>
      <c r="F2" s="125"/>
      <c r="G2" s="14"/>
      <c r="H2" s="14"/>
    </row>
    <row r="3" spans="1:8" ht="16.5" x14ac:dyDescent="0.3">
      <c r="A3" s="42"/>
      <c r="B3" s="43"/>
      <c r="C3" s="43"/>
      <c r="D3" s="43"/>
      <c r="E3" s="43"/>
      <c r="F3" s="43"/>
      <c r="G3" s="14"/>
      <c r="H3" s="14"/>
    </row>
    <row r="4" spans="1:8" ht="16.5" x14ac:dyDescent="0.3">
      <c r="A4" s="128" t="s">
        <v>74</v>
      </c>
      <c r="B4" s="128"/>
      <c r="C4" s="43"/>
      <c r="D4" s="43"/>
      <c r="E4" s="43"/>
      <c r="F4" s="43"/>
      <c r="G4" s="14"/>
      <c r="H4" s="14"/>
    </row>
    <row r="5" spans="1:8" ht="16.5" x14ac:dyDescent="0.3">
      <c r="A5" s="14"/>
      <c r="B5" s="14"/>
      <c r="C5" s="14"/>
      <c r="D5" s="15"/>
      <c r="E5" s="14"/>
      <c r="F5" s="16"/>
      <c r="G5" s="14"/>
      <c r="H5" s="14"/>
    </row>
    <row r="6" spans="1:8" ht="33" x14ac:dyDescent="0.6">
      <c r="A6" s="17" t="s">
        <v>84</v>
      </c>
      <c r="B6" s="14"/>
      <c r="C6" s="14"/>
      <c r="D6" s="15"/>
      <c r="E6" s="14"/>
      <c r="F6" s="16"/>
      <c r="G6" s="14"/>
      <c r="H6" s="18"/>
    </row>
    <row r="7" spans="1:8" ht="16.5" x14ac:dyDescent="0.3">
      <c r="A7" s="127" t="s">
        <v>6</v>
      </c>
      <c r="B7" s="16" t="s">
        <v>11</v>
      </c>
      <c r="C7" s="19"/>
      <c r="D7" s="20"/>
      <c r="E7" s="7" t="s">
        <v>53</v>
      </c>
      <c r="F7" s="41"/>
      <c r="G7" s="22" t="s">
        <v>14</v>
      </c>
      <c r="H7" s="18"/>
    </row>
    <row r="8" spans="1:8" ht="16.5" x14ac:dyDescent="0.3">
      <c r="A8" s="127"/>
      <c r="B8" s="16" t="s">
        <v>12</v>
      </c>
      <c r="C8" s="19"/>
      <c r="D8" s="20"/>
      <c r="E8" s="9">
        <v>1</v>
      </c>
      <c r="F8" s="41"/>
      <c r="G8" s="22" t="s">
        <v>15</v>
      </c>
      <c r="H8" s="18"/>
    </row>
    <row r="9" spans="1:8" ht="16.5" x14ac:dyDescent="0.3">
      <c r="A9" s="23"/>
      <c r="B9" s="16" t="s">
        <v>20</v>
      </c>
      <c r="C9" s="19"/>
      <c r="D9" s="20"/>
      <c r="E9" s="24">
        <f>VLOOKUP($E$7,Hilfsblatt!$A$3:$D$13,4,FALSE)</f>
        <v>5</v>
      </c>
      <c r="F9" s="16" t="s">
        <v>63</v>
      </c>
      <c r="G9" s="22" t="s">
        <v>14</v>
      </c>
      <c r="H9" s="18"/>
    </row>
    <row r="10" spans="1:8" ht="16.5" x14ac:dyDescent="0.3">
      <c r="A10" s="14"/>
      <c r="B10" s="127" t="s">
        <v>56</v>
      </c>
      <c r="C10" s="127"/>
      <c r="D10" s="127"/>
      <c r="E10" s="7">
        <v>462.5</v>
      </c>
      <c r="F10" s="16" t="s">
        <v>61</v>
      </c>
      <c r="G10" s="22" t="s">
        <v>65</v>
      </c>
      <c r="H10" s="18"/>
    </row>
    <row r="11" spans="1:8" ht="16.5" customHeight="1" x14ac:dyDescent="0.3">
      <c r="A11" s="25"/>
      <c r="B11" s="127" t="s">
        <v>57</v>
      </c>
      <c r="C11" s="127"/>
      <c r="D11" s="127"/>
      <c r="E11" s="7">
        <v>1000</v>
      </c>
      <c r="F11" s="16" t="s">
        <v>61</v>
      </c>
      <c r="G11" s="22" t="s">
        <v>21</v>
      </c>
      <c r="H11" s="18"/>
    </row>
    <row r="12" spans="1:8" ht="16.5" x14ac:dyDescent="0.3">
      <c r="A12" s="14"/>
      <c r="B12" s="16" t="s">
        <v>25</v>
      </c>
      <c r="C12" s="23"/>
      <c r="D12" s="26"/>
      <c r="E12" s="50">
        <f>E9*E11</f>
        <v>5000</v>
      </c>
      <c r="F12" s="16" t="s">
        <v>62</v>
      </c>
      <c r="G12" s="22" t="s">
        <v>32</v>
      </c>
      <c r="H12" s="18"/>
    </row>
    <row r="13" spans="1:8" ht="16.5" customHeight="1" x14ac:dyDescent="0.3">
      <c r="A13" s="14"/>
      <c r="B13" s="124" t="s">
        <v>59</v>
      </c>
      <c r="C13" s="124"/>
      <c r="D13" s="124"/>
      <c r="E13" s="47">
        <v>12.35</v>
      </c>
      <c r="F13" s="16" t="s">
        <v>62</v>
      </c>
      <c r="G13" s="22" t="s">
        <v>21</v>
      </c>
      <c r="H13" s="18"/>
    </row>
    <row r="14" spans="1:8" ht="16.5" x14ac:dyDescent="0.3">
      <c r="A14" s="14"/>
      <c r="B14" s="16" t="s">
        <v>34</v>
      </c>
      <c r="C14" s="14"/>
      <c r="D14" s="26"/>
      <c r="E14" s="28">
        <f>E13/E12*100</f>
        <v>0.247</v>
      </c>
      <c r="F14" s="16" t="s">
        <v>10</v>
      </c>
      <c r="G14" s="22" t="s">
        <v>32</v>
      </c>
      <c r="H14" s="18"/>
    </row>
    <row r="15" spans="1:8" ht="17.25" thickBot="1" x14ac:dyDescent="0.35">
      <c r="A15" s="18"/>
      <c r="B15" s="14" t="s">
        <v>16</v>
      </c>
      <c r="C15" s="19"/>
      <c r="D15" s="29" t="s">
        <v>9</v>
      </c>
      <c r="E15" s="54">
        <f>ROUND((E10*E14/100),2)</f>
        <v>1.1399999999999999</v>
      </c>
      <c r="F15" s="16" t="s">
        <v>61</v>
      </c>
      <c r="G15" s="22" t="s">
        <v>32</v>
      </c>
      <c r="H15" s="18"/>
    </row>
    <row r="16" spans="1:8" ht="16.5" x14ac:dyDescent="0.3">
      <c r="A16" s="18"/>
      <c r="B16" s="11" t="s">
        <v>31</v>
      </c>
      <c r="C16" s="19"/>
      <c r="D16" s="20"/>
      <c r="E16" s="49">
        <f>E10-E15</f>
        <v>461.36</v>
      </c>
      <c r="F16" s="16" t="s">
        <v>61</v>
      </c>
      <c r="G16" s="18"/>
      <c r="H16" s="18"/>
    </row>
    <row r="17" spans="1:14" ht="16.5" hidden="1" outlineLevel="1" x14ac:dyDescent="0.3">
      <c r="A17" s="67"/>
      <c r="B17" s="117"/>
      <c r="C17" s="118"/>
      <c r="D17" s="119"/>
      <c r="E17" s="120"/>
      <c r="F17" s="75"/>
      <c r="G17" s="67"/>
      <c r="H17" s="67"/>
      <c r="I17" s="67"/>
      <c r="J17" s="67"/>
      <c r="K17" s="67"/>
      <c r="L17" s="67"/>
      <c r="M17" s="67"/>
      <c r="N17" s="67"/>
    </row>
    <row r="18" spans="1:14" ht="33" hidden="1" outlineLevel="1" x14ac:dyDescent="0.6">
      <c r="A18" s="86" t="s">
        <v>23</v>
      </c>
      <c r="B18" s="73"/>
      <c r="C18" s="73"/>
      <c r="D18" s="85"/>
      <c r="E18" s="73"/>
      <c r="F18" s="75"/>
      <c r="G18" s="73"/>
      <c r="H18" s="73"/>
      <c r="I18" s="67"/>
      <c r="J18" s="67"/>
      <c r="K18" s="67"/>
      <c r="L18" s="67"/>
      <c r="M18" s="67"/>
      <c r="N18" s="67"/>
    </row>
    <row r="19" spans="1:14" ht="16.5" hidden="1" outlineLevel="1" x14ac:dyDescent="0.3">
      <c r="A19" s="87"/>
      <c r="B19" s="88"/>
      <c r="C19" s="88"/>
      <c r="D19" s="89"/>
      <c r="E19" s="90"/>
      <c r="F19" s="75"/>
      <c r="G19" s="73"/>
      <c r="H19" s="73"/>
      <c r="I19" s="67"/>
      <c r="J19" s="67"/>
      <c r="K19" s="67"/>
      <c r="L19" s="67"/>
      <c r="M19" s="67"/>
      <c r="N19" s="67"/>
    </row>
    <row r="20" spans="1:14" ht="16.5" hidden="1" outlineLevel="1" x14ac:dyDescent="0.3">
      <c r="A20" s="73"/>
      <c r="B20" s="105" t="str">
        <f>E7</f>
        <v>G1</v>
      </c>
      <c r="C20" s="73" t="s">
        <v>26</v>
      </c>
      <c r="D20" s="101">
        <v>3</v>
      </c>
      <c r="E20" s="90">
        <f>E16</f>
        <v>461.36</v>
      </c>
      <c r="F20" s="75" t="s">
        <v>61</v>
      </c>
      <c r="G20" s="100">
        <f>ROUND((D20*E20),2)</f>
        <v>1384.08</v>
      </c>
      <c r="H20" s="75" t="s">
        <v>61</v>
      </c>
      <c r="I20" s="67"/>
      <c r="J20" s="67"/>
      <c r="K20" s="67"/>
      <c r="L20" s="67"/>
      <c r="M20" s="67"/>
      <c r="N20" s="67"/>
    </row>
    <row r="21" spans="1:14" ht="16.5" hidden="1" outlineLevel="1" x14ac:dyDescent="0.3">
      <c r="A21" s="73"/>
      <c r="B21" s="73"/>
      <c r="C21" s="73"/>
      <c r="D21" s="101"/>
      <c r="E21" s="90"/>
      <c r="F21" s="75"/>
      <c r="G21" s="73"/>
      <c r="H21" s="73"/>
      <c r="I21" s="67"/>
      <c r="J21" s="67"/>
      <c r="K21" s="67"/>
      <c r="L21" s="67"/>
      <c r="M21" s="67"/>
      <c r="N21" s="67"/>
    </row>
    <row r="22" spans="1:14" ht="16.5" hidden="1" outlineLevel="1" x14ac:dyDescent="0.3">
      <c r="A22" s="73"/>
      <c r="B22" s="73" t="s">
        <v>64</v>
      </c>
      <c r="C22" s="73"/>
      <c r="D22" s="74">
        <v>20</v>
      </c>
      <c r="E22" s="102">
        <f>SUM(G20:G20)</f>
        <v>1384.08</v>
      </c>
      <c r="F22" s="75" t="s">
        <v>61</v>
      </c>
      <c r="G22" s="76">
        <f>SUM(D22*E22)</f>
        <v>27681.599999999999</v>
      </c>
      <c r="H22" s="73"/>
      <c r="I22" s="67"/>
      <c r="J22" s="67"/>
      <c r="K22" s="67"/>
      <c r="L22" s="67"/>
      <c r="M22" s="67"/>
      <c r="N22" s="67"/>
    </row>
    <row r="23" spans="1:14" ht="16.5" hidden="1" outlineLevel="1" x14ac:dyDescent="0.3">
      <c r="A23" s="73"/>
      <c r="B23" s="103" t="s">
        <v>89</v>
      </c>
      <c r="C23" s="73"/>
      <c r="D23" s="78">
        <v>2.5999999999999999E-2</v>
      </c>
      <c r="E23" s="102"/>
      <c r="F23" s="75"/>
      <c r="G23" s="76">
        <f>SUM(G22*D23)</f>
        <v>719.72159999999997</v>
      </c>
      <c r="H23" s="73"/>
      <c r="I23" s="67"/>
      <c r="J23" s="69" t="s">
        <v>91</v>
      </c>
      <c r="K23" s="69"/>
      <c r="L23" s="69"/>
      <c r="M23" s="69"/>
      <c r="N23" s="67"/>
    </row>
    <row r="24" spans="1:14" ht="16.5" hidden="1" outlineLevel="1" x14ac:dyDescent="0.3">
      <c r="A24" s="73"/>
      <c r="B24" s="77" t="s">
        <v>4</v>
      </c>
      <c r="C24" s="73"/>
      <c r="D24" s="78">
        <v>2.5999999999999999E-2</v>
      </c>
      <c r="E24" s="76"/>
      <c r="F24" s="75"/>
      <c r="G24" s="76">
        <f>IF(A4="Nur Wasser",ROUND((G22*D23)*2,1)/2,G23-L25)</f>
        <v>719.7399999999999</v>
      </c>
      <c r="H24" s="73"/>
      <c r="I24" s="67"/>
      <c r="J24" s="69" t="s">
        <v>86</v>
      </c>
      <c r="K24" s="69" t="s">
        <v>87</v>
      </c>
      <c r="L24" s="69" t="s">
        <v>88</v>
      </c>
      <c r="M24" s="69"/>
      <c r="N24" s="67"/>
    </row>
    <row r="25" spans="1:14" s="3" customFormat="1" ht="21" hidden="1" outlineLevel="1" thickBot="1" x14ac:dyDescent="0.4">
      <c r="A25" s="79"/>
      <c r="B25" s="80" t="s">
        <v>82</v>
      </c>
      <c r="C25" s="81"/>
      <c r="D25" s="82"/>
      <c r="E25" s="81"/>
      <c r="F25" s="83"/>
      <c r="G25" s="84">
        <f>G22+G24</f>
        <v>28401.34</v>
      </c>
      <c r="H25" s="79"/>
      <c r="I25" s="68"/>
      <c r="J25" s="114">
        <f>G23+G32</f>
        <v>3522.4816000000001</v>
      </c>
      <c r="K25" s="71">
        <f>ROUND((G23+G32)*2,1)/2</f>
        <v>3522.5</v>
      </c>
      <c r="L25" s="70">
        <f>J25-K25</f>
        <v>-1.8399999999928696E-2</v>
      </c>
      <c r="M25" s="71"/>
      <c r="N25" s="68"/>
    </row>
    <row r="26" spans="1:14" ht="17.25" hidden="1" outlineLevel="1" thickTop="1" x14ac:dyDescent="0.3">
      <c r="A26" s="73"/>
      <c r="B26" s="73"/>
      <c r="C26" s="73"/>
      <c r="D26" s="85"/>
      <c r="E26" s="73"/>
      <c r="F26" s="75"/>
      <c r="G26" s="73"/>
      <c r="H26" s="73"/>
      <c r="I26" s="67"/>
      <c r="J26" s="67"/>
      <c r="K26" s="67"/>
      <c r="L26" s="67"/>
      <c r="M26" s="67"/>
      <c r="N26" s="67"/>
    </row>
    <row r="27" spans="1:14" ht="33" hidden="1" outlineLevel="1" x14ac:dyDescent="0.6">
      <c r="A27" s="86" t="s">
        <v>24</v>
      </c>
      <c r="B27" s="73"/>
      <c r="C27" s="73"/>
      <c r="D27" s="85"/>
      <c r="E27" s="73"/>
      <c r="F27" s="75"/>
      <c r="G27" s="73"/>
      <c r="H27" s="73"/>
      <c r="I27" s="67"/>
      <c r="J27" s="67"/>
      <c r="K27" s="67"/>
      <c r="L27" s="67"/>
      <c r="M27" s="67"/>
      <c r="N27" s="67"/>
    </row>
    <row r="28" spans="1:14" ht="16.5" hidden="1" outlineLevel="1" x14ac:dyDescent="0.3">
      <c r="A28" s="87"/>
      <c r="B28" s="88"/>
      <c r="C28" s="88"/>
      <c r="D28" s="89"/>
      <c r="E28" s="90"/>
      <c r="F28" s="75"/>
      <c r="G28" s="73"/>
      <c r="H28" s="73"/>
      <c r="I28" s="67"/>
      <c r="J28" s="67"/>
      <c r="K28" s="67"/>
      <c r="L28" s="67"/>
      <c r="M28" s="67"/>
      <c r="N28" s="67"/>
    </row>
    <row r="29" spans="1:14" ht="16.5" hidden="1" outlineLevel="1" x14ac:dyDescent="0.3">
      <c r="A29" s="73"/>
      <c r="B29" s="105" t="str">
        <f>E7</f>
        <v>G1</v>
      </c>
      <c r="C29" s="73" t="s">
        <v>26</v>
      </c>
      <c r="D29" s="101">
        <v>3</v>
      </c>
      <c r="E29" s="90">
        <f>E16</f>
        <v>461.36</v>
      </c>
      <c r="F29" s="75" t="s">
        <v>61</v>
      </c>
      <c r="G29" s="100">
        <f>ROUND((D29*E29),2)</f>
        <v>1384.08</v>
      </c>
      <c r="H29" s="75" t="s">
        <v>61</v>
      </c>
      <c r="I29" s="67"/>
      <c r="J29" s="67"/>
      <c r="K29" s="67"/>
      <c r="L29" s="67"/>
      <c r="M29" s="67"/>
      <c r="N29" s="67"/>
    </row>
    <row r="30" spans="1:14" ht="16.5" hidden="1" outlineLevel="1" x14ac:dyDescent="0.3">
      <c r="A30" s="73"/>
      <c r="B30" s="73"/>
      <c r="C30" s="73"/>
      <c r="D30" s="101"/>
      <c r="E30" s="90"/>
      <c r="F30" s="75"/>
      <c r="G30" s="73"/>
      <c r="H30" s="73"/>
      <c r="I30" s="67"/>
      <c r="J30" s="67"/>
      <c r="K30" s="67"/>
      <c r="L30" s="67"/>
      <c r="M30" s="67"/>
      <c r="N30" s="67"/>
    </row>
    <row r="31" spans="1:14" ht="16.5" hidden="1" outlineLevel="1" x14ac:dyDescent="0.3">
      <c r="A31" s="73"/>
      <c r="B31" s="73" t="s">
        <v>64</v>
      </c>
      <c r="C31" s="73"/>
      <c r="D31" s="74">
        <v>25</v>
      </c>
      <c r="E31" s="102">
        <f>SUM(G29:G29)</f>
        <v>1384.08</v>
      </c>
      <c r="F31" s="75" t="s">
        <v>61</v>
      </c>
      <c r="G31" s="76">
        <f>SUM(D31*E31)</f>
        <v>34602</v>
      </c>
      <c r="H31" s="73"/>
      <c r="I31" s="67"/>
      <c r="J31" s="67"/>
      <c r="K31" s="67"/>
      <c r="L31" s="67"/>
      <c r="M31" s="67"/>
      <c r="N31" s="67"/>
    </row>
    <row r="32" spans="1:14" ht="16.5" hidden="1" outlineLevel="1" x14ac:dyDescent="0.3">
      <c r="A32" s="73"/>
      <c r="B32" s="77" t="s">
        <v>4</v>
      </c>
      <c r="C32" s="73"/>
      <c r="D32" s="78">
        <v>8.1000000000000003E-2</v>
      </c>
      <c r="E32" s="76"/>
      <c r="F32" s="75"/>
      <c r="G32" s="76">
        <f>IF(A4="Nur Abwasser",ROUND((G31*D32)*2,1)/2,ROUND((G31*D32),2))</f>
        <v>2802.76</v>
      </c>
      <c r="H32" s="73"/>
      <c r="I32" s="67"/>
      <c r="J32" s="67"/>
      <c r="K32" s="67"/>
      <c r="L32" s="67"/>
      <c r="M32" s="67"/>
      <c r="N32" s="67"/>
    </row>
    <row r="33" spans="1:14" ht="21" hidden="1" outlineLevel="1" thickBot="1" x14ac:dyDescent="0.4">
      <c r="A33" s="79"/>
      <c r="B33" s="80" t="s">
        <v>81</v>
      </c>
      <c r="C33" s="81"/>
      <c r="D33" s="82"/>
      <c r="E33" s="81"/>
      <c r="F33" s="83"/>
      <c r="G33" s="84">
        <f>ROUND((G31+G32)*20,0)/20</f>
        <v>37404.75</v>
      </c>
      <c r="H33" s="73"/>
      <c r="I33" s="67"/>
      <c r="J33" s="67"/>
      <c r="K33" s="67"/>
      <c r="L33" s="67"/>
      <c r="M33" s="67"/>
      <c r="N33" s="67"/>
    </row>
    <row r="34" spans="1:14" ht="17.25" hidden="1" outlineLevel="1" thickTop="1" x14ac:dyDescent="0.3">
      <c r="A34" s="73"/>
      <c r="B34" s="73"/>
      <c r="C34" s="73"/>
      <c r="D34" s="85"/>
      <c r="E34" s="73"/>
      <c r="F34" s="75"/>
      <c r="G34" s="73"/>
      <c r="H34" s="73"/>
      <c r="I34" s="67"/>
      <c r="J34" s="67"/>
      <c r="K34" s="67"/>
      <c r="L34" s="67"/>
      <c r="M34" s="67"/>
      <c r="N34" s="67"/>
    </row>
    <row r="35" spans="1:14" ht="33" hidden="1" outlineLevel="1" x14ac:dyDescent="0.6">
      <c r="A35" s="86" t="s">
        <v>76</v>
      </c>
      <c r="B35" s="73"/>
      <c r="C35" s="73"/>
      <c r="D35" s="85"/>
      <c r="E35" s="73"/>
      <c r="F35" s="75"/>
      <c r="G35" s="73"/>
      <c r="H35" s="73"/>
      <c r="I35" s="67"/>
      <c r="J35" s="67"/>
      <c r="K35" s="67"/>
      <c r="L35" s="67"/>
      <c r="M35" s="67"/>
      <c r="N35" s="67"/>
    </row>
    <row r="36" spans="1:14" ht="16.5" hidden="1" outlineLevel="1" x14ac:dyDescent="0.3">
      <c r="A36" s="73"/>
      <c r="B36" s="73"/>
      <c r="C36" s="73"/>
      <c r="D36" s="85"/>
      <c r="E36" s="73"/>
      <c r="F36" s="75"/>
      <c r="G36" s="73"/>
      <c r="H36" s="73"/>
      <c r="I36" s="67"/>
      <c r="J36" s="67"/>
      <c r="K36" s="67"/>
      <c r="L36" s="67"/>
      <c r="M36" s="67"/>
      <c r="N36" s="67"/>
    </row>
    <row r="37" spans="1:14" s="6" customFormat="1" ht="17.25" hidden="1" outlineLevel="1" x14ac:dyDescent="0.3">
      <c r="A37" s="91"/>
      <c r="B37" s="73" t="s">
        <v>82</v>
      </c>
      <c r="C37" s="73"/>
      <c r="D37" s="85"/>
      <c r="E37" s="73"/>
      <c r="F37" s="75"/>
      <c r="G37" s="76">
        <f>SUM(G25)</f>
        <v>28401.34</v>
      </c>
      <c r="H37" s="91"/>
      <c r="I37" s="92"/>
      <c r="J37" s="92"/>
      <c r="K37" s="92"/>
      <c r="L37" s="92"/>
      <c r="M37" s="92"/>
      <c r="N37" s="92"/>
    </row>
    <row r="38" spans="1:14" s="6" customFormat="1" ht="17.25" hidden="1" outlineLevel="1" x14ac:dyDescent="0.3">
      <c r="A38" s="91"/>
      <c r="B38" s="73" t="s">
        <v>81</v>
      </c>
      <c r="C38" s="73"/>
      <c r="D38" s="85"/>
      <c r="E38" s="73"/>
      <c r="F38" s="75"/>
      <c r="G38" s="76">
        <f>SUM(G33)</f>
        <v>37404.75</v>
      </c>
      <c r="H38" s="91"/>
      <c r="I38" s="92"/>
      <c r="J38" s="92"/>
      <c r="K38" s="92"/>
      <c r="L38" s="92"/>
      <c r="M38" s="92"/>
      <c r="N38" s="92"/>
    </row>
    <row r="39" spans="1:14" s="5" customFormat="1" ht="21" hidden="1" outlineLevel="1" thickBot="1" x14ac:dyDescent="0.4">
      <c r="A39" s="93"/>
      <c r="B39" s="80" t="s">
        <v>77</v>
      </c>
      <c r="C39" s="80"/>
      <c r="D39" s="94"/>
      <c r="E39" s="80"/>
      <c r="F39" s="95"/>
      <c r="G39" s="96">
        <f>G37+G38</f>
        <v>65806.09</v>
      </c>
      <c r="H39" s="93"/>
      <c r="I39" s="97"/>
      <c r="J39" s="97"/>
      <c r="K39" s="97"/>
      <c r="L39" s="97"/>
      <c r="M39" s="97"/>
      <c r="N39" s="97"/>
    </row>
    <row r="40" spans="1:14" ht="17.25" hidden="1" outlineLevel="1" thickTop="1" x14ac:dyDescent="0.3">
      <c r="A40" s="73"/>
      <c r="B40" s="73"/>
      <c r="C40" s="73"/>
      <c r="D40" s="85"/>
      <c r="E40" s="73"/>
      <c r="F40" s="75"/>
      <c r="G40" s="73"/>
      <c r="H40" s="73"/>
      <c r="I40" s="67"/>
      <c r="J40" s="67"/>
      <c r="K40" s="67"/>
      <c r="L40" s="67"/>
      <c r="M40" s="67"/>
      <c r="N40" s="67"/>
    </row>
    <row r="41" spans="1:14" ht="16.5" collapsed="1" x14ac:dyDescent="0.3">
      <c r="A41" s="14"/>
      <c r="B41" s="14"/>
      <c r="C41" s="14"/>
      <c r="D41" s="15"/>
      <c r="E41" s="14"/>
      <c r="F41" s="16"/>
      <c r="G41" s="14"/>
      <c r="H41" s="14"/>
    </row>
    <row r="42" spans="1:14" ht="33" x14ac:dyDescent="0.6">
      <c r="A42" s="17" t="str">
        <f>IF($A$4=Hilfsblatt!$A$23,A18,IF($A$4=Hilfsblatt!$A$24,A27,IF($A$4=Hilfsblatt!$A$25,A18," ")))</f>
        <v>Anschlussgebühr Wasser</v>
      </c>
      <c r="B42" s="14"/>
      <c r="C42" s="14"/>
      <c r="D42" s="15"/>
      <c r="E42" s="14"/>
      <c r="F42" s="16"/>
      <c r="G42" s="14"/>
      <c r="H42" s="14"/>
    </row>
    <row r="43" spans="1:14" ht="16.5" x14ac:dyDescent="0.3">
      <c r="A43" s="25"/>
      <c r="B43" s="44"/>
      <c r="C43" s="44"/>
      <c r="D43" s="30"/>
      <c r="E43" s="31"/>
      <c r="F43" s="16"/>
      <c r="G43" s="14"/>
      <c r="H43" s="14"/>
    </row>
    <row r="44" spans="1:14" ht="16.5" x14ac:dyDescent="0.3">
      <c r="A44" s="25"/>
      <c r="B44" s="32" t="str">
        <f>IF($A$4=Hilfsblatt!$A$23,B20,IF($A$4=Hilfsblatt!$A$24,B29,IF($A$4=Hilfsblatt!$A$25,B20," ")))</f>
        <v>G1</v>
      </c>
      <c r="C44" s="14" t="str">
        <f>IF($A$4=Hilfsblatt!$A$23,C20,IF($A$4=Hilfsblatt!$A$24,C29,IF($A$4=Hilfsblatt!$A$25,C20," ")))</f>
        <v>Faktor f.</v>
      </c>
      <c r="D44" s="33">
        <f>IF($A$4=Hilfsblatt!$A$23,D20,IF($A$4=Hilfsblatt!$A$24,D29,IF($A$4=Hilfsblatt!$A$25,D20," ")))</f>
        <v>3</v>
      </c>
      <c r="E44" s="31">
        <f>IF($A$4=Hilfsblatt!$A$23,E20,IF($A$4=Hilfsblatt!$A$24,E29,IF($A$4=Hilfsblatt!$A$25,E20," ")))</f>
        <v>461.36</v>
      </c>
      <c r="F44" s="16" t="str">
        <f>IF($A$4=Hilfsblatt!$A$23,F20,IF($A$4=Hilfsblatt!$A$24,F29,IF($A$4=Hilfsblatt!$A$25,F20," ")))</f>
        <v>m²</v>
      </c>
      <c r="G44" s="51">
        <f>IF($A$4=Hilfsblatt!$A$23,G20,IF($A$4=Hilfsblatt!$A$24,G29,IF($A$4=Hilfsblatt!$A$25,G20," ")))</f>
        <v>1384.08</v>
      </c>
      <c r="H44" s="16" t="str">
        <f>IF($A$4=Hilfsblatt!$A$23,H20,IF($A$4=Hilfsblatt!$A$24,H29,IF($A$4=Hilfsblatt!$A$25,H20," ")))</f>
        <v>m²</v>
      </c>
    </row>
    <row r="45" spans="1:14" ht="16.5" x14ac:dyDescent="0.3">
      <c r="A45" s="14"/>
      <c r="B45" s="14"/>
      <c r="C45" s="14"/>
      <c r="D45" s="26"/>
      <c r="E45" s="31"/>
      <c r="F45" s="16"/>
      <c r="G45" s="14"/>
      <c r="H45" s="14"/>
    </row>
    <row r="46" spans="1:14" ht="16.5" x14ac:dyDescent="0.3">
      <c r="A46" s="14"/>
      <c r="B46" s="14" t="str">
        <f>IF($A$4=Hilfsblatt!$A$23,B22,IF($A$4=Hilfsblatt!$A$24,B31,IF($A$4=Hilfsblatt!$A$25,B22," ")))</f>
        <v>Anschlussgebühr pro m²</v>
      </c>
      <c r="C46" s="14"/>
      <c r="D46" s="34">
        <f>IF($A$4=Hilfsblatt!$A$23,D22,IF($A$4=Hilfsblatt!$A$24,D31,IF($A$4=Hilfsblatt!$A$25,D22," ")))</f>
        <v>20</v>
      </c>
      <c r="E46" s="45">
        <f>IF($A$4=Hilfsblatt!$A$23,E22,IF($A$4=Hilfsblatt!$A$24,E31,IF($A$4=Hilfsblatt!$A$25,E22," ")))</f>
        <v>1384.08</v>
      </c>
      <c r="F46" s="16" t="str">
        <f>IF($A$4=Hilfsblatt!$A$23,F22,IF($A$4=Hilfsblatt!$A$24,F31,IF($A$4=Hilfsblatt!$A$25,F22," ")))</f>
        <v>m²</v>
      </c>
      <c r="G46" s="35">
        <f>IF($A$4=Hilfsblatt!$A$23,G22,IF($A$4=Hilfsblatt!$A$24,G31,IF($A$4=Hilfsblatt!$A$25,G22," ")))</f>
        <v>27681.599999999999</v>
      </c>
      <c r="H46" s="14"/>
    </row>
    <row r="47" spans="1:14" ht="16.5" x14ac:dyDescent="0.3">
      <c r="A47" s="14"/>
      <c r="B47" s="23" t="str">
        <f>IF($A$4=Hilfsblatt!$A$23,B24,IF($A$4=Hilfsblatt!$A$24,B32,IF($A$4=Hilfsblatt!$A$25,B24," ")))</f>
        <v xml:space="preserve">Mehrwertsteuer </v>
      </c>
      <c r="C47" s="14"/>
      <c r="D47" s="36">
        <f>IF($A$4=Hilfsblatt!$A$23,D24,IF($A$4=Hilfsblatt!$A$24,D32,IF($A$4=Hilfsblatt!$A$25,D24," ")))</f>
        <v>2.5999999999999999E-2</v>
      </c>
      <c r="E47" s="35"/>
      <c r="F47" s="16"/>
      <c r="G47" s="35">
        <f>IF($A$4=Hilfsblatt!$A$23,G24,IF($A$4=Hilfsblatt!$A$24,G32,IF($A$4=Hilfsblatt!$A$25,G24," ")))</f>
        <v>719.7399999999999</v>
      </c>
      <c r="H47" s="14"/>
    </row>
    <row r="48" spans="1:14" ht="20.25" x14ac:dyDescent="0.35">
      <c r="A48" s="37"/>
      <c r="B48" s="122" t="str">
        <f>IF($A$4=Hilfsblatt!$A$23,B25,IF($A$4=Hilfsblatt!$A$24,B33,IF($A$4=Hilfsblatt!$A$25,B25," ")))</f>
        <v>Total Anschlussgebühren Wasser inkl. MwSt.</v>
      </c>
      <c r="C48" s="122">
        <f>IF($A$4=Hilfsblatt!$A$23,C25,IF($A$4=Hilfsblatt!$A$24,C33,IF($A$4=Hilfsblatt!$A$25,C25," ")))</f>
        <v>0</v>
      </c>
      <c r="D48" s="122">
        <f>IF($A$4=Hilfsblatt!$A$23,D25,IF($A$4=Hilfsblatt!$A$24,D33,IF($A$4=Hilfsblatt!$A$25,D25," ")))</f>
        <v>0</v>
      </c>
      <c r="E48" s="122">
        <f>IF($A$4=Hilfsblatt!$A$23,E25,IF($A$4=Hilfsblatt!$A$24,E33,IF($A$4=Hilfsblatt!$A$25,E25," ")))</f>
        <v>0</v>
      </c>
      <c r="F48" s="122">
        <f>IF($A$4=Hilfsblatt!$A$23,F25,IF($A$4=Hilfsblatt!$A$24,F33,IF($A$4=Hilfsblatt!$A$25,F25," ")))</f>
        <v>0</v>
      </c>
      <c r="G48" s="59">
        <f>IF($A$4=Hilfsblatt!$A$23,G25,IF($A$4=Hilfsblatt!$A$24,G33,IF($A$4=Hilfsblatt!$A$25,G25," ")))</f>
        <v>28401.34</v>
      </c>
      <c r="H48" s="37"/>
    </row>
    <row r="49" spans="1:8" ht="16.5" x14ac:dyDescent="0.3">
      <c r="A49" s="14"/>
      <c r="B49" s="14"/>
      <c r="C49" s="14"/>
      <c r="D49" s="15"/>
      <c r="E49" s="14"/>
      <c r="F49" s="16"/>
      <c r="G49" s="14"/>
      <c r="H49" s="14"/>
    </row>
    <row r="50" spans="1:8" ht="33" x14ac:dyDescent="0.6">
      <c r="A50" s="17" t="str">
        <f>IF($A$4=Hilfsblatt!$A$25,A27," ")</f>
        <v>Anschlussgebühr Abwasser</v>
      </c>
      <c r="B50" s="14"/>
      <c r="C50" s="14"/>
      <c r="D50" s="15"/>
      <c r="E50" s="14"/>
      <c r="F50" s="16"/>
      <c r="G50" s="14"/>
      <c r="H50" s="14"/>
    </row>
    <row r="51" spans="1:8" ht="16.5" x14ac:dyDescent="0.3">
      <c r="A51" s="25"/>
      <c r="B51" s="44"/>
      <c r="C51" s="44"/>
      <c r="D51" s="30"/>
      <c r="E51" s="31"/>
      <c r="F51" s="16"/>
      <c r="G51" s="14"/>
      <c r="H51" s="14"/>
    </row>
    <row r="52" spans="1:8" ht="16.5" x14ac:dyDescent="0.3">
      <c r="A52" s="25"/>
      <c r="B52" s="32" t="str">
        <f>IF($A$4=Hilfsblatt!$A$25,B29," ")</f>
        <v>G1</v>
      </c>
      <c r="C52" s="14" t="str">
        <f>IF($A$4=Hilfsblatt!$A$25,C29," ")</f>
        <v>Faktor f.</v>
      </c>
      <c r="D52" s="33">
        <f>IF($A$4=Hilfsblatt!$A$25,D29," ")</f>
        <v>3</v>
      </c>
      <c r="E52" s="31">
        <f>IF($A$4=Hilfsblatt!$A$25,E29," ")</f>
        <v>461.36</v>
      </c>
      <c r="F52" s="16" t="str">
        <f>IF($A$4=Hilfsblatt!$A$25,F29," ")</f>
        <v>m²</v>
      </c>
      <c r="G52" s="51">
        <f>IF($A$4=Hilfsblatt!$A$25,G29," ")</f>
        <v>1384.08</v>
      </c>
      <c r="H52" s="16" t="str">
        <f>IF($A$4=Hilfsblatt!$A$25,H29," ")</f>
        <v>m²</v>
      </c>
    </row>
    <row r="53" spans="1:8" ht="16.5" x14ac:dyDescent="0.3">
      <c r="A53" s="14"/>
      <c r="B53" s="14"/>
      <c r="C53" s="14"/>
      <c r="D53" s="26"/>
      <c r="E53" s="31"/>
      <c r="F53" s="16"/>
      <c r="G53" s="14"/>
      <c r="H53" s="14"/>
    </row>
    <row r="54" spans="1:8" ht="16.5" x14ac:dyDescent="0.3">
      <c r="A54" s="14"/>
      <c r="B54" s="14" t="str">
        <f>IF($A$4=Hilfsblatt!$A$25,B31," ")</f>
        <v>Anschlussgebühr pro m²</v>
      </c>
      <c r="C54" s="14"/>
      <c r="D54" s="34">
        <f>IF($A$4=Hilfsblatt!$A$25,D31," ")</f>
        <v>25</v>
      </c>
      <c r="E54" s="31">
        <f>IF($A$4=Hilfsblatt!$A$25,E31," ")</f>
        <v>1384.08</v>
      </c>
      <c r="F54" s="16" t="str">
        <f>IF($A$4=Hilfsblatt!$A$25,F31," ")</f>
        <v>m²</v>
      </c>
      <c r="G54" s="35">
        <f>IF($A$4=Hilfsblatt!$A$25,G31," ")</f>
        <v>34602</v>
      </c>
      <c r="H54" s="14"/>
    </row>
    <row r="55" spans="1:8" ht="16.5" x14ac:dyDescent="0.3">
      <c r="A55" s="14"/>
      <c r="B55" s="23" t="str">
        <f>IF($A$4=Hilfsblatt!$A$25,B32," ")</f>
        <v xml:space="preserve">Mehrwertsteuer </v>
      </c>
      <c r="C55" s="14"/>
      <c r="D55" s="36">
        <f>IF($A$4=Hilfsblatt!$A$25,D32," ")</f>
        <v>8.1000000000000003E-2</v>
      </c>
      <c r="E55" s="35"/>
      <c r="F55" s="16"/>
      <c r="G55" s="35">
        <f>IF($A$4=Hilfsblatt!$A$25,G32," ")</f>
        <v>2802.76</v>
      </c>
      <c r="H55" s="14"/>
    </row>
    <row r="56" spans="1:8" ht="20.25" x14ac:dyDescent="0.35">
      <c r="A56" s="37"/>
      <c r="B56" s="122" t="str">
        <f>IF($A$4=Hilfsblatt!$A$25,B33," ")</f>
        <v>Total Anschlussgebühren Abwasser inkl. MwSt.</v>
      </c>
      <c r="C56" s="122">
        <f>IF($A$4=Hilfsblatt!$A$25,C33," ")</f>
        <v>0</v>
      </c>
      <c r="D56" s="122">
        <f>IF($A$4=Hilfsblatt!$A$25,D33," ")</f>
        <v>0</v>
      </c>
      <c r="E56" s="122">
        <f>IF($A$4=Hilfsblatt!$A$25,E33," ")</f>
        <v>0</v>
      </c>
      <c r="F56" s="122">
        <f>IF($A$4=Hilfsblatt!$A$25,F33," ")</f>
        <v>0</v>
      </c>
      <c r="G56" s="59">
        <f>IF($A$4=Hilfsblatt!$A$25,G33," ")</f>
        <v>37404.75</v>
      </c>
      <c r="H56" s="14"/>
    </row>
    <row r="57" spans="1:8" ht="17.25" x14ac:dyDescent="0.3">
      <c r="A57" s="14"/>
      <c r="B57" s="38"/>
      <c r="C57" s="38"/>
      <c r="D57" s="56"/>
      <c r="E57" s="38"/>
      <c r="F57" s="57"/>
      <c r="G57" s="38"/>
      <c r="H57" s="14"/>
    </row>
    <row r="58" spans="1:8" ht="33" x14ac:dyDescent="0.6">
      <c r="A58" s="17" t="str">
        <f>IF($A$4=Hilfsblatt!$A$25,A35," ")</f>
        <v>Anschlussgebühren Total</v>
      </c>
      <c r="B58" s="38"/>
      <c r="C58" s="38"/>
      <c r="D58" s="56"/>
      <c r="E58" s="38"/>
      <c r="F58" s="57"/>
      <c r="G58" s="38"/>
      <c r="H58" s="14"/>
    </row>
    <row r="59" spans="1:8" ht="17.25" x14ac:dyDescent="0.3">
      <c r="A59" s="14"/>
      <c r="B59" s="38"/>
      <c r="C59" s="38"/>
      <c r="D59" s="56"/>
      <c r="E59" s="38"/>
      <c r="F59" s="57"/>
      <c r="G59" s="38"/>
      <c r="H59" s="14"/>
    </row>
    <row r="60" spans="1:8" ht="17.25" x14ac:dyDescent="0.3">
      <c r="A60" s="38"/>
      <c r="B60" s="14" t="str">
        <f>IF($A$4=Hilfsblatt!$A$25,B37," ")</f>
        <v>Total Anschlussgebühren Wasser inkl. MwSt.</v>
      </c>
      <c r="C60" s="14"/>
      <c r="D60" s="15"/>
      <c r="E60" s="14"/>
      <c r="F60" s="16"/>
      <c r="G60" s="35">
        <f>IF($A$4=Hilfsblatt!$A$25,G37," ")</f>
        <v>28401.34</v>
      </c>
      <c r="H60" s="38"/>
    </row>
    <row r="61" spans="1:8" ht="17.25" x14ac:dyDescent="0.3">
      <c r="A61" s="38"/>
      <c r="B61" s="14" t="str">
        <f>IF($A$4=Hilfsblatt!$A$25,B38," ")</f>
        <v>Total Anschlussgebühren Abwasser inkl. MwSt.</v>
      </c>
      <c r="C61" s="14"/>
      <c r="D61" s="15"/>
      <c r="E61" s="14"/>
      <c r="F61" s="16"/>
      <c r="G61" s="35">
        <f>IF($A$4=Hilfsblatt!$A$25,G38," ")</f>
        <v>37404.75</v>
      </c>
      <c r="H61" s="38"/>
    </row>
    <row r="62" spans="1:8" ht="20.25" x14ac:dyDescent="0.35">
      <c r="A62" s="39"/>
      <c r="B62" s="122" t="str">
        <f>IF($A$4=Hilfsblatt!$A$25,B39," ")</f>
        <v>Total Anschlussgebühren Wasser + Abwasser inkl. MwSt.</v>
      </c>
      <c r="C62" s="122">
        <f>IF($A$4=Hilfsblatt!$A$25,C39," ")</f>
        <v>0</v>
      </c>
      <c r="D62" s="122">
        <f>IF($A$4=Hilfsblatt!$A$25,D39," ")</f>
        <v>0</v>
      </c>
      <c r="E62" s="122">
        <f>IF($A$4=Hilfsblatt!$A$25,E39," ")</f>
        <v>0</v>
      </c>
      <c r="F62" s="122">
        <f>IF($A$4=Hilfsblatt!$A$25,F39," ")</f>
        <v>0</v>
      </c>
      <c r="G62" s="60">
        <f>IF($A$4=Hilfsblatt!$A$25,G39," ")</f>
        <v>65806.09</v>
      </c>
      <c r="H62" s="39"/>
    </row>
    <row r="63" spans="1:8" x14ac:dyDescent="0.25">
      <c r="A63" s="18"/>
      <c r="B63" s="18"/>
      <c r="C63" s="18"/>
      <c r="D63" s="40"/>
      <c r="E63" s="18"/>
      <c r="F63" s="21"/>
      <c r="G63" s="18"/>
      <c r="H63" s="18"/>
    </row>
    <row r="64" spans="1:8" x14ac:dyDescent="0.25">
      <c r="A64" s="18"/>
      <c r="B64" s="18"/>
      <c r="C64" s="18"/>
      <c r="D64" s="40"/>
      <c r="E64" s="18"/>
      <c r="F64" s="21"/>
      <c r="G64" s="18"/>
      <c r="H64" s="18"/>
    </row>
    <row r="65" spans="1:8" x14ac:dyDescent="0.25">
      <c r="A65" s="18"/>
      <c r="B65" s="18"/>
      <c r="C65" s="18"/>
      <c r="D65" s="40"/>
      <c r="E65" s="18"/>
      <c r="F65" s="21"/>
      <c r="G65" s="18"/>
      <c r="H65" s="18"/>
    </row>
    <row r="66" spans="1:8" x14ac:dyDescent="0.25">
      <c r="A66" s="18"/>
      <c r="B66" s="18"/>
      <c r="C66" s="18"/>
      <c r="D66" s="40"/>
      <c r="E66" s="18"/>
      <c r="F66" s="21"/>
      <c r="G66" s="18"/>
      <c r="H66" s="18"/>
    </row>
    <row r="67" spans="1:8" x14ac:dyDescent="0.25">
      <c r="A67" s="18"/>
      <c r="B67" s="18"/>
      <c r="C67" s="18"/>
      <c r="D67" s="40"/>
      <c r="E67" s="18"/>
      <c r="F67" s="21"/>
      <c r="G67" s="18"/>
      <c r="H67" s="18"/>
    </row>
    <row r="68" spans="1:8" x14ac:dyDescent="0.25">
      <c r="A68" s="18"/>
      <c r="B68" s="18"/>
      <c r="C68" s="18"/>
      <c r="D68" s="40"/>
      <c r="E68" s="18"/>
      <c r="F68" s="21"/>
      <c r="G68" s="18"/>
      <c r="H68" s="18"/>
    </row>
    <row r="69" spans="1:8" x14ac:dyDescent="0.25">
      <c r="A69" s="18"/>
      <c r="B69" s="18"/>
      <c r="C69" s="18"/>
      <c r="D69" s="40"/>
      <c r="E69" s="18"/>
      <c r="F69" s="21"/>
      <c r="G69" s="18"/>
      <c r="H69" s="18"/>
    </row>
    <row r="70" spans="1:8" x14ac:dyDescent="0.25">
      <c r="A70" s="18"/>
      <c r="B70" s="18"/>
      <c r="C70" s="18"/>
      <c r="D70" s="40"/>
      <c r="E70" s="18"/>
      <c r="F70" s="21"/>
      <c r="G70" s="18"/>
      <c r="H70" s="18"/>
    </row>
  </sheetData>
  <sheetProtection algorithmName="SHA-512" hashValue="ASiNEULK/AespjRNaRePHYFP38NHk70SNUV/KQk0JPPDxu5G6/Lk3DlnHOP2TrdwXDvzAyahFBOmdpB7Hm45cQ==" saltValue="xxijws7zVQJTC2hbRQTs2Q==" spinCount="100000" sheet="1" objects="1" scenarios="1"/>
  <mergeCells count="9">
    <mergeCell ref="B62:F62"/>
    <mergeCell ref="A7:A8"/>
    <mergeCell ref="B11:D11"/>
    <mergeCell ref="B10:D10"/>
    <mergeCell ref="B2:F2"/>
    <mergeCell ref="B13:D13"/>
    <mergeCell ref="A4:B4"/>
    <mergeCell ref="B48:F48"/>
    <mergeCell ref="B56:F56"/>
  </mergeCells>
  <conditionalFormatting sqref="A50:C50 A58:C58">
    <cfRule type="containsText" dxfId="11" priority="1" operator="containsText" text="Anschluss">
      <formula>NOT(ISERROR(SEARCH("Anschluss",A50)))</formula>
    </cfRule>
  </conditionalFormatting>
  <conditionalFormatting sqref="A50:G62">
    <cfRule type="containsText" dxfId="10" priority="3" operator="containsText" text=" ">
      <formula>NOT(ISERROR(SEARCH(" ",A50)))</formula>
    </cfRule>
  </conditionalFormatting>
  <conditionalFormatting sqref="B56:F56 B62:F62">
    <cfRule type="containsText" dxfId="9" priority="2" operator="containsText" text="Total">
      <formula>NOT(ISERROR(SEARCH("Total",B56)))</formula>
    </cfRule>
  </conditionalFormatting>
  <pageMargins left="0.7" right="0.7" top="0.78740157499999996" bottom="0.78740157499999996" header="0.3" footer="0.3"/>
  <pageSetup paperSize="9" scale="65" orientation="portrait" r:id="rId1"/>
  <headerFooter>
    <oddFooter>&amp;L&amp;Z&amp;F&amp;F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3FB99F-D048-4BAA-AB38-4352556449DE}">
          <x14:formula1>
            <xm:f>Hilfsblatt!$A$12:$A$13</xm:f>
          </x14:formula1>
          <xm:sqref>E7</xm:sqref>
        </x14:dataValidation>
        <x14:dataValidation type="list" allowBlank="1" showInputMessage="1" showErrorMessage="1" xr:uid="{467C257D-C076-4300-AAC8-90F794BB86A2}">
          <x14:formula1>
            <xm:f>Hilfsblatt!$A$22:$A$25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BFF8-2DF6-40C0-B7EF-C3EB2B60D851}">
  <sheetPr>
    <pageSetUpPr fitToPage="1"/>
  </sheetPr>
  <dimension ref="A1:N70"/>
  <sheetViews>
    <sheetView view="pageBreakPreview" topLeftCell="A4" zoomScaleNormal="100" zoomScaleSheetLayoutView="100" zoomScalePageLayoutView="40" workbookViewId="0">
      <selection activeCell="A17" sqref="A17:XFD40"/>
    </sheetView>
  </sheetViews>
  <sheetFormatPr baseColWidth="10" defaultRowHeight="15" outlineLevelRow="1" x14ac:dyDescent="0.25"/>
  <cols>
    <col min="1" max="1" width="10.85546875" customWidth="1"/>
    <col min="2" max="2" width="32.5703125" customWidth="1"/>
    <col min="3" max="3" width="21.7109375" customWidth="1"/>
    <col min="4" max="4" width="14.28515625" style="2" customWidth="1"/>
    <col min="5" max="5" width="16" customWidth="1"/>
    <col min="6" max="6" width="7.140625" style="4" customWidth="1"/>
    <col min="7" max="7" width="20.140625" customWidth="1"/>
    <col min="8" max="8" width="11.28515625" customWidth="1"/>
  </cols>
  <sheetData>
    <row r="1" spans="1:14" s="1" customFormat="1" ht="25.5" x14ac:dyDescent="0.5">
      <c r="A1" s="10" t="s">
        <v>83</v>
      </c>
      <c r="B1" s="11"/>
      <c r="C1" s="11"/>
      <c r="D1" s="12"/>
      <c r="E1" s="11"/>
      <c r="F1" s="13"/>
      <c r="G1" s="11"/>
      <c r="H1" s="11"/>
    </row>
    <row r="2" spans="1:14" ht="16.5" x14ac:dyDescent="0.3">
      <c r="A2" s="42" t="s">
        <v>46</v>
      </c>
      <c r="B2" s="125" t="s">
        <v>47</v>
      </c>
      <c r="C2" s="125"/>
      <c r="D2" s="125"/>
      <c r="E2" s="125"/>
      <c r="F2" s="125"/>
      <c r="G2" s="14"/>
      <c r="H2" s="14"/>
    </row>
    <row r="3" spans="1:14" ht="16.5" x14ac:dyDescent="0.3">
      <c r="A3" s="42"/>
      <c r="B3" s="43"/>
      <c r="C3" s="43"/>
      <c r="D3" s="43"/>
      <c r="E3" s="43"/>
      <c r="F3" s="43"/>
      <c r="G3" s="14"/>
      <c r="H3" s="14"/>
    </row>
    <row r="4" spans="1:14" ht="16.5" x14ac:dyDescent="0.3">
      <c r="A4" s="128" t="s">
        <v>74</v>
      </c>
      <c r="B4" s="128"/>
      <c r="C4" s="43"/>
      <c r="D4" s="43"/>
      <c r="E4" s="43"/>
      <c r="F4" s="43"/>
      <c r="G4" s="14"/>
      <c r="H4" s="14"/>
    </row>
    <row r="5" spans="1:14" ht="16.5" x14ac:dyDescent="0.3">
      <c r="A5" s="14"/>
      <c r="B5" s="14"/>
      <c r="C5" s="14"/>
      <c r="D5" s="15"/>
      <c r="E5" s="14"/>
      <c r="F5" s="16"/>
      <c r="G5" s="14"/>
      <c r="H5" s="14"/>
    </row>
    <row r="6" spans="1:14" ht="33" x14ac:dyDescent="0.6">
      <c r="A6" s="17" t="s">
        <v>84</v>
      </c>
      <c r="B6" s="14"/>
      <c r="C6" s="14"/>
      <c r="D6" s="15"/>
      <c r="E6" s="14"/>
      <c r="F6" s="16"/>
      <c r="G6" s="14"/>
      <c r="H6" s="18"/>
    </row>
    <row r="7" spans="1:14" ht="16.5" x14ac:dyDescent="0.3">
      <c r="A7" s="127" t="s">
        <v>6</v>
      </c>
      <c r="B7" s="16" t="s">
        <v>11</v>
      </c>
      <c r="C7" s="19"/>
      <c r="D7" s="20"/>
      <c r="E7" s="24" t="s">
        <v>17</v>
      </c>
      <c r="F7" s="41"/>
      <c r="G7" s="22" t="s">
        <v>14</v>
      </c>
      <c r="H7" s="18"/>
    </row>
    <row r="8" spans="1:14" ht="16.5" x14ac:dyDescent="0.3">
      <c r="A8" s="127"/>
      <c r="B8" s="16" t="s">
        <v>12</v>
      </c>
      <c r="C8" s="19"/>
      <c r="D8" s="20"/>
      <c r="E8" s="9">
        <v>1</v>
      </c>
      <c r="F8" s="41"/>
      <c r="G8" s="22" t="s">
        <v>15</v>
      </c>
      <c r="H8" s="18"/>
    </row>
    <row r="9" spans="1:14" ht="16.5" x14ac:dyDescent="0.3">
      <c r="A9" s="14"/>
      <c r="B9" s="127" t="s">
        <v>56</v>
      </c>
      <c r="C9" s="127"/>
      <c r="D9" s="127"/>
      <c r="E9" s="47">
        <v>251</v>
      </c>
      <c r="F9" s="16" t="s">
        <v>61</v>
      </c>
      <c r="G9" s="22" t="s">
        <v>65</v>
      </c>
      <c r="H9" s="18"/>
    </row>
    <row r="10" spans="1:14" ht="16.5" x14ac:dyDescent="0.3">
      <c r="A10" s="23"/>
      <c r="B10" s="16" t="s">
        <v>27</v>
      </c>
      <c r="C10" s="19"/>
      <c r="D10" s="20"/>
      <c r="E10" s="47">
        <v>500</v>
      </c>
      <c r="F10" s="16" t="s">
        <v>61</v>
      </c>
      <c r="G10" s="22" t="s">
        <v>19</v>
      </c>
      <c r="H10" s="18"/>
    </row>
    <row r="11" spans="1:14" ht="16.5" customHeight="1" x14ac:dyDescent="0.3">
      <c r="A11" s="14"/>
      <c r="B11" s="124" t="s">
        <v>60</v>
      </c>
      <c r="C11" s="124"/>
      <c r="D11" s="124"/>
      <c r="E11" s="47">
        <v>250</v>
      </c>
      <c r="F11" s="16" t="s">
        <v>61</v>
      </c>
      <c r="G11" s="22" t="s">
        <v>33</v>
      </c>
      <c r="H11" s="18"/>
    </row>
    <row r="12" spans="1:14" ht="16.5" x14ac:dyDescent="0.3">
      <c r="A12" s="14"/>
      <c r="B12" s="16" t="s">
        <v>34</v>
      </c>
      <c r="C12" s="14"/>
      <c r="D12" s="26"/>
      <c r="E12" s="28">
        <f>E11/E10*100</f>
        <v>50</v>
      </c>
      <c r="F12" s="16" t="s">
        <v>10</v>
      </c>
      <c r="G12" s="22" t="s">
        <v>32</v>
      </c>
      <c r="H12" s="18"/>
    </row>
    <row r="13" spans="1:14" ht="17.25" thickBot="1" x14ac:dyDescent="0.35">
      <c r="A13" s="18"/>
      <c r="B13" s="14" t="s">
        <v>16</v>
      </c>
      <c r="C13" s="19"/>
      <c r="D13" s="29" t="s">
        <v>9</v>
      </c>
      <c r="E13" s="48">
        <f>ROUND((E9*E12/100),2)</f>
        <v>125.5</v>
      </c>
      <c r="F13" s="16" t="s">
        <v>61</v>
      </c>
      <c r="G13" s="22" t="s">
        <v>32</v>
      </c>
      <c r="H13" s="18"/>
    </row>
    <row r="14" spans="1:14" ht="16.5" x14ac:dyDescent="0.3">
      <c r="A14" s="18"/>
      <c r="B14" s="11" t="s">
        <v>31</v>
      </c>
      <c r="C14" s="19"/>
      <c r="D14" s="20"/>
      <c r="E14" s="49">
        <f>E9-E13</f>
        <v>125.5</v>
      </c>
      <c r="F14" s="16" t="s">
        <v>61</v>
      </c>
      <c r="G14" s="18"/>
      <c r="H14" s="18"/>
    </row>
    <row r="15" spans="1:14" ht="16.5" hidden="1" outlineLevel="1" x14ac:dyDescent="0.3">
      <c r="A15" s="67"/>
      <c r="B15" s="117"/>
      <c r="C15" s="118"/>
      <c r="D15" s="119"/>
      <c r="E15" s="120"/>
      <c r="F15" s="75"/>
      <c r="G15" s="67"/>
      <c r="H15" s="67"/>
      <c r="I15" s="67"/>
      <c r="J15" s="67"/>
      <c r="K15" s="67"/>
      <c r="L15" s="67"/>
      <c r="M15" s="67"/>
      <c r="N15" s="67"/>
    </row>
    <row r="16" spans="1:14" ht="33" hidden="1" outlineLevel="1" x14ac:dyDescent="0.6">
      <c r="A16" s="86" t="s">
        <v>23</v>
      </c>
      <c r="B16" s="73"/>
      <c r="C16" s="73"/>
      <c r="D16" s="85"/>
      <c r="E16" s="73"/>
      <c r="F16" s="75"/>
      <c r="G16" s="73"/>
      <c r="H16" s="73"/>
      <c r="I16" s="67"/>
      <c r="J16" s="67"/>
      <c r="K16" s="67"/>
      <c r="L16" s="67"/>
      <c r="M16" s="67"/>
      <c r="N16" s="67"/>
    </row>
    <row r="17" spans="1:14" ht="16.5" hidden="1" outlineLevel="1" x14ac:dyDescent="0.3">
      <c r="A17" s="87"/>
      <c r="B17" s="88"/>
      <c r="C17" s="88"/>
      <c r="D17" s="89"/>
      <c r="E17" s="90"/>
      <c r="F17" s="75"/>
      <c r="G17" s="73"/>
      <c r="H17" s="73"/>
      <c r="I17" s="67"/>
      <c r="J17" s="67"/>
      <c r="K17" s="67"/>
      <c r="L17" s="67"/>
      <c r="M17" s="67"/>
      <c r="N17" s="67"/>
    </row>
    <row r="18" spans="1:14" ht="16.5" hidden="1" outlineLevel="1" x14ac:dyDescent="0.3">
      <c r="A18" s="73"/>
      <c r="B18" s="73" t="s">
        <v>17</v>
      </c>
      <c r="C18" s="73" t="s">
        <v>3</v>
      </c>
      <c r="D18" s="85">
        <v>1.5</v>
      </c>
      <c r="E18" s="106">
        <f>E14</f>
        <v>125.5</v>
      </c>
      <c r="F18" s="75" t="s">
        <v>61</v>
      </c>
      <c r="G18" s="100">
        <f>ROUND((D18*E18),2)</f>
        <v>188.25</v>
      </c>
      <c r="H18" s="75" t="s">
        <v>61</v>
      </c>
      <c r="I18" s="67"/>
      <c r="J18" s="67"/>
      <c r="K18" s="67"/>
      <c r="L18" s="67"/>
      <c r="M18" s="67"/>
      <c r="N18" s="67"/>
    </row>
    <row r="19" spans="1:14" ht="16.5" hidden="1" outlineLevel="1" x14ac:dyDescent="0.3">
      <c r="A19" s="73"/>
      <c r="B19" s="73"/>
      <c r="C19" s="73"/>
      <c r="D19" s="101"/>
      <c r="E19" s="108"/>
      <c r="F19" s="75"/>
      <c r="G19" s="73"/>
      <c r="H19" s="73"/>
      <c r="I19" s="67"/>
      <c r="J19" s="67"/>
      <c r="K19" s="67"/>
      <c r="L19" s="67"/>
      <c r="M19" s="67"/>
      <c r="N19" s="67"/>
    </row>
    <row r="20" spans="1:14" ht="16.5" hidden="1" outlineLevel="1" x14ac:dyDescent="0.3">
      <c r="A20" s="73"/>
      <c r="B20" s="73" t="s">
        <v>64</v>
      </c>
      <c r="C20" s="73"/>
      <c r="D20" s="74">
        <v>20</v>
      </c>
      <c r="E20" s="109">
        <f>SUM(G18:G18)</f>
        <v>188.25</v>
      </c>
      <c r="F20" s="75" t="s">
        <v>61</v>
      </c>
      <c r="G20" s="76">
        <f>SUM(D20*E20)</f>
        <v>3765</v>
      </c>
      <c r="H20" s="73"/>
      <c r="I20" s="67"/>
      <c r="J20" s="67"/>
      <c r="K20" s="67"/>
      <c r="L20" s="67"/>
      <c r="M20" s="67"/>
      <c r="N20" s="67"/>
    </row>
    <row r="21" spans="1:14" ht="16.5" hidden="1" outlineLevel="1" x14ac:dyDescent="0.3">
      <c r="A21" s="73"/>
      <c r="B21" s="110" t="s">
        <v>89</v>
      </c>
      <c r="C21" s="73"/>
      <c r="D21" s="111">
        <v>2.5999999999999999E-2</v>
      </c>
      <c r="E21" s="109"/>
      <c r="F21" s="75"/>
      <c r="G21" s="76">
        <f>SUM(G20*D21)</f>
        <v>97.89</v>
      </c>
      <c r="H21" s="73"/>
      <c r="I21" s="67"/>
      <c r="J21" s="69" t="s">
        <v>91</v>
      </c>
      <c r="K21" s="69"/>
      <c r="L21" s="69"/>
      <c r="M21" s="69"/>
      <c r="N21" s="67"/>
    </row>
    <row r="22" spans="1:14" ht="16.5" hidden="1" outlineLevel="1" x14ac:dyDescent="0.3">
      <c r="A22" s="73"/>
      <c r="B22" s="77" t="s">
        <v>4</v>
      </c>
      <c r="C22" s="73"/>
      <c r="D22" s="78">
        <v>2.5999999999999999E-2</v>
      </c>
      <c r="E22" s="108"/>
      <c r="F22" s="75"/>
      <c r="G22" s="76">
        <f>IF(A4="Nur Wasser",ROUND((G20*D21)*2,1)/2,G21-L23)</f>
        <v>97.89</v>
      </c>
      <c r="H22" s="73"/>
      <c r="I22" s="67"/>
      <c r="J22" s="69" t="s">
        <v>86</v>
      </c>
      <c r="K22" s="69" t="s">
        <v>87</v>
      </c>
      <c r="L22" s="69" t="s">
        <v>88</v>
      </c>
      <c r="M22" s="69"/>
      <c r="N22" s="67"/>
    </row>
    <row r="23" spans="1:14" s="3" customFormat="1" ht="21" hidden="1" outlineLevel="1" thickBot="1" x14ac:dyDescent="0.4">
      <c r="A23" s="79"/>
      <c r="B23" s="80" t="s">
        <v>82</v>
      </c>
      <c r="C23" s="81"/>
      <c r="D23" s="82"/>
      <c r="E23" s="112"/>
      <c r="F23" s="83"/>
      <c r="G23" s="84">
        <f>G20+G22</f>
        <v>3862.89</v>
      </c>
      <c r="H23" s="79"/>
      <c r="I23" s="68"/>
      <c r="J23" s="114">
        <f>G21+G30</f>
        <v>479.09999999999997</v>
      </c>
      <c r="K23" s="71">
        <f>ROUND((G21+G30)*2,1)/2</f>
        <v>479.1</v>
      </c>
      <c r="L23" s="70">
        <f>J23-K23</f>
        <v>0</v>
      </c>
      <c r="M23" s="71"/>
      <c r="N23" s="68"/>
    </row>
    <row r="24" spans="1:14" ht="17.25" hidden="1" outlineLevel="1" thickTop="1" x14ac:dyDescent="0.3">
      <c r="A24" s="73"/>
      <c r="B24" s="73"/>
      <c r="C24" s="73"/>
      <c r="D24" s="85"/>
      <c r="E24" s="108"/>
      <c r="F24" s="75"/>
      <c r="G24" s="73">
        <f>IF(A4="Nur Wasser",ROUND((G22*D23)*2,1)/2,G23-L25)</f>
        <v>3862.89</v>
      </c>
      <c r="H24" s="73"/>
      <c r="I24" s="67"/>
      <c r="J24" s="67"/>
      <c r="K24" s="67"/>
      <c r="L24" s="67"/>
      <c r="M24" s="67"/>
      <c r="N24" s="67"/>
    </row>
    <row r="25" spans="1:14" ht="33" hidden="1" outlineLevel="1" x14ac:dyDescent="0.6">
      <c r="A25" s="86" t="s">
        <v>24</v>
      </c>
      <c r="B25" s="73"/>
      <c r="C25" s="73"/>
      <c r="D25" s="85"/>
      <c r="E25" s="108"/>
      <c r="F25" s="75"/>
      <c r="G25" s="73"/>
      <c r="H25" s="73"/>
      <c r="I25" s="67"/>
      <c r="J25" s="67"/>
      <c r="K25" s="67"/>
      <c r="L25" s="67"/>
      <c r="M25" s="67"/>
      <c r="N25" s="67"/>
    </row>
    <row r="26" spans="1:14" ht="16.5" hidden="1" outlineLevel="1" x14ac:dyDescent="0.3">
      <c r="A26" s="87"/>
      <c r="B26" s="88"/>
      <c r="C26" s="88"/>
      <c r="D26" s="89"/>
      <c r="E26" s="108"/>
      <c r="F26" s="75"/>
      <c r="G26" s="73"/>
      <c r="H26" s="73"/>
      <c r="I26" s="67"/>
      <c r="J26" s="67"/>
      <c r="K26" s="67"/>
      <c r="L26" s="67"/>
      <c r="M26" s="67"/>
      <c r="N26" s="67"/>
    </row>
    <row r="27" spans="1:14" ht="16.5" hidden="1" outlineLevel="1" x14ac:dyDescent="0.3">
      <c r="A27" s="73"/>
      <c r="B27" s="73" t="s">
        <v>17</v>
      </c>
      <c r="C27" s="73" t="s">
        <v>3</v>
      </c>
      <c r="D27" s="85">
        <v>1.5</v>
      </c>
      <c r="E27" s="106">
        <f>E14</f>
        <v>125.5</v>
      </c>
      <c r="F27" s="75" t="s">
        <v>61</v>
      </c>
      <c r="G27" s="100">
        <f>ROUND((D27*E27),2)</f>
        <v>188.25</v>
      </c>
      <c r="H27" s="75" t="s">
        <v>61</v>
      </c>
      <c r="I27" s="67"/>
      <c r="J27" s="67"/>
      <c r="K27" s="67"/>
      <c r="L27" s="67"/>
      <c r="M27" s="67"/>
      <c r="N27" s="67"/>
    </row>
    <row r="28" spans="1:14" ht="16.5" hidden="1" outlineLevel="1" x14ac:dyDescent="0.3">
      <c r="A28" s="73"/>
      <c r="B28" s="73"/>
      <c r="C28" s="73"/>
      <c r="D28" s="101"/>
      <c r="E28" s="108"/>
      <c r="F28" s="75"/>
      <c r="G28" s="73"/>
      <c r="H28" s="73"/>
      <c r="I28" s="67"/>
      <c r="J28" s="67"/>
      <c r="K28" s="67"/>
      <c r="L28" s="67"/>
      <c r="M28" s="67"/>
      <c r="N28" s="67"/>
    </row>
    <row r="29" spans="1:14" ht="16.5" hidden="1" outlineLevel="1" x14ac:dyDescent="0.3">
      <c r="A29" s="73"/>
      <c r="B29" s="73" t="s">
        <v>64</v>
      </c>
      <c r="C29" s="73"/>
      <c r="D29" s="74">
        <v>25</v>
      </c>
      <c r="E29" s="109">
        <f>SUM(G27:G27)</f>
        <v>188.25</v>
      </c>
      <c r="F29" s="75" t="s">
        <v>61</v>
      </c>
      <c r="G29" s="76">
        <f>SUM(D29*E29)</f>
        <v>4706.25</v>
      </c>
      <c r="H29" s="73"/>
      <c r="I29" s="67"/>
      <c r="J29" s="67"/>
      <c r="K29" s="67"/>
      <c r="L29" s="67"/>
      <c r="M29" s="67"/>
      <c r="N29" s="67"/>
    </row>
    <row r="30" spans="1:14" ht="16.5" hidden="1" outlineLevel="1" x14ac:dyDescent="0.3">
      <c r="A30" s="73"/>
      <c r="B30" s="77" t="s">
        <v>4</v>
      </c>
      <c r="C30" s="73"/>
      <c r="D30" s="78">
        <v>8.1000000000000003E-2</v>
      </c>
      <c r="E30" s="76"/>
      <c r="F30" s="75"/>
      <c r="G30" s="76">
        <f>IF(A4="Nur Abwasser",ROUND((G29*D30)*2,1)/2,ROUND((G29*D30),2))</f>
        <v>381.21</v>
      </c>
      <c r="H30" s="73"/>
      <c r="I30" s="67"/>
      <c r="J30" s="67"/>
      <c r="K30" s="67"/>
      <c r="L30" s="67"/>
      <c r="M30" s="67"/>
      <c r="N30" s="67"/>
    </row>
    <row r="31" spans="1:14" ht="21" hidden="1" outlineLevel="1" thickBot="1" x14ac:dyDescent="0.4">
      <c r="A31" s="79"/>
      <c r="B31" s="80" t="s">
        <v>81</v>
      </c>
      <c r="C31" s="81"/>
      <c r="D31" s="82"/>
      <c r="E31" s="81"/>
      <c r="F31" s="83"/>
      <c r="G31" s="84">
        <f>G29+G30</f>
        <v>5087.46</v>
      </c>
      <c r="H31" s="73"/>
      <c r="I31" s="67"/>
      <c r="J31" s="67"/>
      <c r="K31" s="67"/>
      <c r="L31" s="67"/>
      <c r="M31" s="67"/>
      <c r="N31" s="67"/>
    </row>
    <row r="32" spans="1:14" ht="17.25" hidden="1" outlineLevel="1" thickTop="1" x14ac:dyDescent="0.3">
      <c r="A32" s="73"/>
      <c r="B32" s="73"/>
      <c r="C32" s="73"/>
      <c r="D32" s="85"/>
      <c r="E32" s="73"/>
      <c r="F32" s="75"/>
      <c r="G32" s="73"/>
      <c r="H32" s="73"/>
      <c r="I32" s="67"/>
      <c r="J32" s="67"/>
      <c r="K32" s="67"/>
      <c r="L32" s="67"/>
      <c r="M32" s="67"/>
      <c r="N32" s="67"/>
    </row>
    <row r="33" spans="1:14" ht="33" hidden="1" outlineLevel="1" x14ac:dyDescent="0.6">
      <c r="A33" s="86" t="s">
        <v>76</v>
      </c>
      <c r="B33" s="73"/>
      <c r="C33" s="73"/>
      <c r="D33" s="85"/>
      <c r="E33" s="73"/>
      <c r="F33" s="75"/>
      <c r="G33" s="73"/>
      <c r="H33" s="73"/>
      <c r="I33" s="67"/>
      <c r="J33" s="67"/>
      <c r="K33" s="67"/>
      <c r="L33" s="67"/>
      <c r="M33" s="67"/>
      <c r="N33" s="67"/>
    </row>
    <row r="34" spans="1:14" ht="16.5" hidden="1" outlineLevel="1" x14ac:dyDescent="0.3">
      <c r="A34" s="73"/>
      <c r="B34" s="73"/>
      <c r="C34" s="73"/>
      <c r="D34" s="85"/>
      <c r="E34" s="73"/>
      <c r="F34" s="75"/>
      <c r="G34" s="73"/>
      <c r="H34" s="73"/>
      <c r="I34" s="67"/>
      <c r="J34" s="67"/>
      <c r="K34" s="67"/>
      <c r="L34" s="67"/>
      <c r="M34" s="67"/>
      <c r="N34" s="67"/>
    </row>
    <row r="35" spans="1:14" s="6" customFormat="1" ht="17.25" hidden="1" outlineLevel="1" x14ac:dyDescent="0.3">
      <c r="A35" s="91"/>
      <c r="B35" s="73" t="s">
        <v>82</v>
      </c>
      <c r="C35" s="73"/>
      <c r="D35" s="85"/>
      <c r="E35" s="73"/>
      <c r="F35" s="75"/>
      <c r="G35" s="76">
        <f>SUM(G23)</f>
        <v>3862.89</v>
      </c>
      <c r="H35" s="91"/>
      <c r="I35" s="92"/>
      <c r="J35" s="92"/>
      <c r="K35" s="92"/>
      <c r="L35" s="92"/>
      <c r="M35" s="92"/>
      <c r="N35" s="92"/>
    </row>
    <row r="36" spans="1:14" s="6" customFormat="1" ht="17.25" hidden="1" outlineLevel="1" x14ac:dyDescent="0.3">
      <c r="A36" s="91"/>
      <c r="B36" s="73" t="s">
        <v>81</v>
      </c>
      <c r="C36" s="73"/>
      <c r="D36" s="85"/>
      <c r="E36" s="73"/>
      <c r="F36" s="75"/>
      <c r="G36" s="76">
        <f>SUM(G31)</f>
        <v>5087.46</v>
      </c>
      <c r="H36" s="91"/>
      <c r="I36" s="92"/>
      <c r="J36" s="92"/>
      <c r="K36" s="92"/>
      <c r="L36" s="92"/>
      <c r="M36" s="92"/>
      <c r="N36" s="92"/>
    </row>
    <row r="37" spans="1:14" s="5" customFormat="1" ht="21" hidden="1" outlineLevel="1" thickBot="1" x14ac:dyDescent="0.4">
      <c r="A37" s="93"/>
      <c r="B37" s="80" t="s">
        <v>77</v>
      </c>
      <c r="C37" s="80"/>
      <c r="D37" s="94"/>
      <c r="E37" s="80"/>
      <c r="F37" s="95"/>
      <c r="G37" s="96">
        <f>SUM(G35:G36)</f>
        <v>8950.35</v>
      </c>
      <c r="H37" s="93"/>
      <c r="I37" s="97"/>
      <c r="J37" s="97"/>
      <c r="K37" s="97"/>
      <c r="L37" s="97"/>
      <c r="M37" s="97"/>
      <c r="N37" s="97"/>
    </row>
    <row r="38" spans="1:14" ht="17.25" hidden="1" outlineLevel="1" thickTop="1" x14ac:dyDescent="0.3">
      <c r="A38" s="73"/>
      <c r="B38" s="73"/>
      <c r="C38" s="73"/>
      <c r="D38" s="85"/>
      <c r="E38" s="73"/>
      <c r="F38" s="75"/>
      <c r="G38" s="73"/>
      <c r="H38" s="73"/>
      <c r="I38" s="67"/>
      <c r="J38" s="67"/>
      <c r="K38" s="67"/>
      <c r="L38" s="67"/>
      <c r="M38" s="67"/>
      <c r="N38" s="67"/>
    </row>
    <row r="39" spans="1:14" ht="16.5" collapsed="1" x14ac:dyDescent="0.3">
      <c r="A39" s="14"/>
      <c r="B39" s="14"/>
      <c r="C39" s="14"/>
      <c r="D39" s="15"/>
      <c r="E39" s="14"/>
      <c r="F39" s="16"/>
      <c r="G39" s="14"/>
      <c r="H39" s="14"/>
    </row>
    <row r="40" spans="1:14" ht="33" x14ac:dyDescent="0.6">
      <c r="A40" s="17" t="str">
        <f>IF($A$4=[1]Hilfsblatt!$A$23,A16,IF($A$4=[1]Hilfsblatt!$A$24,A25,IF($A$4=[1]Hilfsblatt!$A$25,A16," ")))</f>
        <v>Anschlussgebühr Wasser</v>
      </c>
      <c r="B40" s="14"/>
      <c r="C40" s="14"/>
      <c r="D40" s="15"/>
      <c r="E40" s="14"/>
      <c r="F40" s="16"/>
      <c r="G40" s="14"/>
      <c r="H40" s="14"/>
    </row>
    <row r="41" spans="1:14" ht="16.5" x14ac:dyDescent="0.3">
      <c r="A41" s="25"/>
      <c r="B41" s="44"/>
      <c r="C41" s="44"/>
      <c r="D41" s="30"/>
      <c r="E41" s="31"/>
      <c r="F41" s="16"/>
      <c r="G41" s="14"/>
      <c r="H41" s="14"/>
    </row>
    <row r="42" spans="1:14" ht="16.5" x14ac:dyDescent="0.3">
      <c r="A42" s="25"/>
      <c r="B42" s="32" t="str">
        <f>IF($A$4=[1]Hilfsblatt!$A$23,B18,IF($A$4=[1]Hilfsblatt!$A$24,B27,IF($A$4=[1]Hilfsblatt!$A$25,B18," ")))</f>
        <v>KA</v>
      </c>
      <c r="C42" s="14" t="str">
        <f>IF($A$4=[1]Hilfsblatt!$A$23,C18,IF($A$4=[1]Hilfsblatt!$A$24,C27,IF($A$4=[1]Hilfsblatt!$A$25,C18," ")))</f>
        <v>Faktor d.</v>
      </c>
      <c r="D42" s="33">
        <f>IF($A$4=[1]Hilfsblatt!$A$23,D18,IF($A$4=[1]Hilfsblatt!$A$24,D27,IF($A$4=[1]Hilfsblatt!$A$25,D18," ")))</f>
        <v>1.5</v>
      </c>
      <c r="E42" s="31">
        <f>IF($A$4=[1]Hilfsblatt!$A$23,E18,IF($A$4=[1]Hilfsblatt!$A$24,E27,IF($A$4=[1]Hilfsblatt!$A$25,E18," ")))</f>
        <v>125.5</v>
      </c>
      <c r="F42" s="16" t="str">
        <f>IF($A$4=[1]Hilfsblatt!$A$23,F18,IF($A$4=[1]Hilfsblatt!$A$24,F27,IF($A$4=[1]Hilfsblatt!$A$25,F18," ")))</f>
        <v>m²</v>
      </c>
      <c r="G42" s="51">
        <f>IF($A$4=[1]Hilfsblatt!$A$23,G18,IF($A$4=[1]Hilfsblatt!$A$24,G27,IF($A$4=[1]Hilfsblatt!$A$25,G18," ")))</f>
        <v>188.25</v>
      </c>
      <c r="H42" s="16" t="str">
        <f>IF($A$4=[1]Hilfsblatt!$A$23,H18,IF($A$4=[1]Hilfsblatt!$A$24,H27,IF($A$4=[1]Hilfsblatt!$A$25,H18," ")))</f>
        <v>m²</v>
      </c>
    </row>
    <row r="43" spans="1:14" ht="16.5" x14ac:dyDescent="0.3">
      <c r="A43" s="14"/>
      <c r="B43" s="14"/>
      <c r="C43" s="14"/>
      <c r="D43" s="26"/>
      <c r="E43" s="31"/>
      <c r="F43" s="16"/>
      <c r="G43" s="14"/>
      <c r="H43" s="14"/>
    </row>
    <row r="44" spans="1:14" ht="16.5" x14ac:dyDescent="0.3">
      <c r="A44" s="14"/>
      <c r="B44" s="14" t="str">
        <f>IF($A$4=[1]Hilfsblatt!$A$23,B20,IF($A$4=[1]Hilfsblatt!$A$24,B29,IF($A$4=[1]Hilfsblatt!$A$25,B20," ")))</f>
        <v>Anschlussgebühr pro m²</v>
      </c>
      <c r="C44" s="14"/>
      <c r="D44" s="34">
        <f>IF($A$4=[1]Hilfsblatt!$A$23,D20,IF($A$4=[1]Hilfsblatt!$A$24,D29,IF($A$4=[1]Hilfsblatt!$A$25,D20," ")))</f>
        <v>20</v>
      </c>
      <c r="E44" s="45">
        <f>IF($A$4=[1]Hilfsblatt!$A$23,E20,IF($A$4=[1]Hilfsblatt!$A$24,E29,IF($A$4=[1]Hilfsblatt!$A$25,E20," ")))</f>
        <v>188.25</v>
      </c>
      <c r="F44" s="16" t="str">
        <f>IF($A$4=[1]Hilfsblatt!$A$23,F20,IF($A$4=[1]Hilfsblatt!$A$24,F29,IF($A$4=[1]Hilfsblatt!$A$25,F20," ")))</f>
        <v>m²</v>
      </c>
      <c r="G44" s="35">
        <f>IF($A$4=[1]Hilfsblatt!$A$23,G20,IF($A$4=[1]Hilfsblatt!$A$24,G29,IF($A$4=[1]Hilfsblatt!$A$25,G20," ")))</f>
        <v>3765</v>
      </c>
      <c r="H44" s="14"/>
    </row>
    <row r="45" spans="1:14" ht="16.5" x14ac:dyDescent="0.3">
      <c r="A45" s="14"/>
      <c r="B45" s="23" t="str">
        <f>IF($A$4=[1]Hilfsblatt!$A$23,B22,IF($A$4=[1]Hilfsblatt!$A$24,B30,IF($A$4=[1]Hilfsblatt!$A$25,B22," ")))</f>
        <v xml:space="preserve">Mehrwertsteuer </v>
      </c>
      <c r="C45" s="14"/>
      <c r="D45" s="36">
        <f>IF($A$4=[1]Hilfsblatt!$A$23,D22,IF($A$4=[1]Hilfsblatt!$A$24,D30,IF($A$4=[1]Hilfsblatt!$A$25,D22," ")))</f>
        <v>2.5999999999999999E-2</v>
      </c>
      <c r="E45" s="35"/>
      <c r="F45" s="16"/>
      <c r="G45" s="35">
        <f>IF($A$4=[1]Hilfsblatt!$A$23,G22,IF($A$4=[1]Hilfsblatt!$A$24,G30,IF($A$4=[1]Hilfsblatt!$A$25,G22," ")))</f>
        <v>97.89</v>
      </c>
      <c r="H45" s="14"/>
    </row>
    <row r="46" spans="1:14" ht="20.25" x14ac:dyDescent="0.35">
      <c r="A46" s="37"/>
      <c r="B46" s="122" t="str">
        <f>IF($A$4=[1]Hilfsblatt!$A$23,B23,IF($A$4=[1]Hilfsblatt!$A$24,B31,IF($A$4=[1]Hilfsblatt!$A$25,B23," ")))</f>
        <v>Total Anschlussgebühren Wasser inkl. MwSt.</v>
      </c>
      <c r="C46" s="122">
        <f>IF($A$4=[1]Hilfsblatt!$A$23,C23,IF($A$4=[1]Hilfsblatt!$A$24,C31,IF($A$4=[1]Hilfsblatt!$A$25,C23," ")))</f>
        <v>0</v>
      </c>
      <c r="D46" s="122">
        <f>IF($A$4=[1]Hilfsblatt!$A$23,D23,IF($A$4=[1]Hilfsblatt!$A$24,D31,IF($A$4=[1]Hilfsblatt!$A$25,D23," ")))</f>
        <v>0</v>
      </c>
      <c r="E46" s="122">
        <f>IF($A$4=[1]Hilfsblatt!$A$23,E23,IF($A$4=[1]Hilfsblatt!$A$24,E31,IF($A$4=[1]Hilfsblatt!$A$25,E23," ")))</f>
        <v>0</v>
      </c>
      <c r="F46" s="122">
        <f>IF($A$4=[1]Hilfsblatt!$A$23,F23,IF($A$4=[1]Hilfsblatt!$A$24,F31,IF($A$4=[1]Hilfsblatt!$A$25,F23," ")))</f>
        <v>0</v>
      </c>
      <c r="G46" s="59">
        <f>IF($A$4=[1]Hilfsblatt!$A$23,G23,IF($A$4=[1]Hilfsblatt!$A$24,G31,IF($A$4=[1]Hilfsblatt!$A$25,G23," ")))</f>
        <v>3862.89</v>
      </c>
      <c r="H46" s="37"/>
    </row>
    <row r="47" spans="1:14" ht="16.5" x14ac:dyDescent="0.3">
      <c r="A47" s="14"/>
      <c r="B47" s="14"/>
      <c r="C47" s="14"/>
      <c r="D47" s="15"/>
      <c r="E47" s="14"/>
      <c r="F47" s="16"/>
      <c r="G47" s="14"/>
      <c r="H47" s="14"/>
    </row>
    <row r="48" spans="1:14" ht="33" x14ac:dyDescent="0.6">
      <c r="A48" s="17" t="str">
        <f>IF($A$4=[1]Hilfsblatt!$A$25,A25," ")</f>
        <v>Anschlussgebühr Abwasser</v>
      </c>
      <c r="B48" s="14"/>
      <c r="C48" s="14"/>
      <c r="D48" s="15"/>
      <c r="E48" s="14"/>
      <c r="F48" s="16"/>
      <c r="G48" s="14"/>
      <c r="H48" s="14"/>
    </row>
    <row r="49" spans="1:8" ht="16.5" x14ac:dyDescent="0.3">
      <c r="A49" s="25"/>
      <c r="B49" s="44"/>
      <c r="C49" s="44"/>
      <c r="D49" s="30"/>
      <c r="E49" s="31"/>
      <c r="F49" s="16"/>
      <c r="G49" s="14"/>
      <c r="H49" s="14"/>
    </row>
    <row r="50" spans="1:8" ht="16.5" x14ac:dyDescent="0.3">
      <c r="A50" s="25"/>
      <c r="B50" s="32" t="str">
        <f>IF($A$4=[1]Hilfsblatt!$A$25,B27," ")</f>
        <v>KA</v>
      </c>
      <c r="C50" s="14" t="str">
        <f>IF($A$4=[1]Hilfsblatt!$A$25,C27," ")</f>
        <v>Faktor d.</v>
      </c>
      <c r="D50" s="33">
        <f>IF($A$4=[1]Hilfsblatt!$A$25,D27," ")</f>
        <v>1.5</v>
      </c>
      <c r="E50" s="31">
        <f>IF($A$4=[1]Hilfsblatt!$A$25,E27," ")</f>
        <v>125.5</v>
      </c>
      <c r="F50" s="16" t="str">
        <f>IF($A$4=[1]Hilfsblatt!$A$25,F27," ")</f>
        <v>m²</v>
      </c>
      <c r="G50" s="51">
        <f>IF($A$4=[1]Hilfsblatt!$A$25,G27," ")</f>
        <v>188.25</v>
      </c>
      <c r="H50" s="16" t="str">
        <f>IF($A$4=[1]Hilfsblatt!$A$25,H27," ")</f>
        <v>m²</v>
      </c>
    </row>
    <row r="51" spans="1:8" ht="16.5" x14ac:dyDescent="0.3">
      <c r="A51" s="14"/>
      <c r="B51" s="14"/>
      <c r="C51" s="14"/>
      <c r="D51" s="26"/>
      <c r="E51" s="31"/>
      <c r="F51" s="16"/>
      <c r="G51" s="14"/>
      <c r="H51" s="14"/>
    </row>
    <row r="52" spans="1:8" ht="16.5" x14ac:dyDescent="0.3">
      <c r="A52" s="14"/>
      <c r="B52" s="14" t="str">
        <f>IF($A$4=[1]Hilfsblatt!$A$25,B29," ")</f>
        <v>Anschlussgebühr pro m²</v>
      </c>
      <c r="C52" s="14"/>
      <c r="D52" s="34">
        <f>IF($A$4=[1]Hilfsblatt!$A$25,D29," ")</f>
        <v>25</v>
      </c>
      <c r="E52" s="31">
        <f>IF($A$4=[1]Hilfsblatt!$A$25,E29," ")</f>
        <v>188.25</v>
      </c>
      <c r="F52" s="16" t="str">
        <f>IF($A$4=[1]Hilfsblatt!$A$25,F29," ")</f>
        <v>m²</v>
      </c>
      <c r="G52" s="35">
        <f>IF($A$4=[1]Hilfsblatt!$A$25,G29," ")</f>
        <v>4706.25</v>
      </c>
      <c r="H52" s="14"/>
    </row>
    <row r="53" spans="1:8" ht="16.5" x14ac:dyDescent="0.3">
      <c r="A53" s="14"/>
      <c r="B53" s="23" t="str">
        <f>IF($A$4=[1]Hilfsblatt!$A$25,B30," ")</f>
        <v xml:space="preserve">Mehrwertsteuer </v>
      </c>
      <c r="C53" s="14"/>
      <c r="D53" s="36">
        <f>IF($A$4=[1]Hilfsblatt!$A$25,D30," ")</f>
        <v>8.1000000000000003E-2</v>
      </c>
      <c r="E53" s="35"/>
      <c r="F53" s="16"/>
      <c r="G53" s="35">
        <f>IF($A$4=[1]Hilfsblatt!$A$25,G30," ")</f>
        <v>381.21</v>
      </c>
      <c r="H53" s="14"/>
    </row>
    <row r="54" spans="1:8" ht="20.25" x14ac:dyDescent="0.35">
      <c r="A54" s="37"/>
      <c r="B54" s="122" t="str">
        <f>IF($A$4=[1]Hilfsblatt!$A$25,B31," ")</f>
        <v>Total Anschlussgebühren Abwasser inkl. MwSt.</v>
      </c>
      <c r="C54" s="122">
        <f>IF($A$4=[1]Hilfsblatt!$A$25,C31," ")</f>
        <v>0</v>
      </c>
      <c r="D54" s="122">
        <f>IF($A$4=[1]Hilfsblatt!$A$25,D31," ")</f>
        <v>0</v>
      </c>
      <c r="E54" s="122">
        <f>IF($A$4=[1]Hilfsblatt!$A$25,E31," ")</f>
        <v>0</v>
      </c>
      <c r="F54" s="122">
        <f>IF($A$4=[1]Hilfsblatt!$A$25,F31," ")</f>
        <v>0</v>
      </c>
      <c r="G54" s="59">
        <f>IF($A$4=[1]Hilfsblatt!$A$25,G31," ")</f>
        <v>5087.46</v>
      </c>
      <c r="H54" s="14"/>
    </row>
    <row r="55" spans="1:8" ht="17.25" x14ac:dyDescent="0.3">
      <c r="A55" s="14"/>
      <c r="B55" s="38"/>
      <c r="C55" s="38"/>
      <c r="D55" s="56"/>
      <c r="E55" s="38"/>
      <c r="F55" s="57"/>
      <c r="G55" s="38"/>
      <c r="H55" s="14"/>
    </row>
    <row r="56" spans="1:8" ht="33" x14ac:dyDescent="0.6">
      <c r="A56" s="17" t="str">
        <f>IF($A$4=[1]Hilfsblatt!$A$25,A33," ")</f>
        <v>Anschlussgebühren Total</v>
      </c>
      <c r="B56" s="38"/>
      <c r="C56" s="38"/>
      <c r="D56" s="56"/>
      <c r="E56" s="38"/>
      <c r="F56" s="57"/>
      <c r="G56" s="38"/>
      <c r="H56" s="14"/>
    </row>
    <row r="57" spans="1:8" ht="17.25" x14ac:dyDescent="0.3">
      <c r="A57" s="14"/>
      <c r="B57" s="38"/>
      <c r="C57" s="38"/>
      <c r="D57" s="56"/>
      <c r="E57" s="38"/>
      <c r="F57" s="57"/>
      <c r="G57" s="38"/>
      <c r="H57" s="14"/>
    </row>
    <row r="58" spans="1:8" ht="17.25" x14ac:dyDescent="0.3">
      <c r="A58" s="38"/>
      <c r="B58" s="14" t="str">
        <f>IF($A$4=[1]Hilfsblatt!$A$25,B35," ")</f>
        <v>Total Anschlussgebühren Wasser inkl. MwSt.</v>
      </c>
      <c r="C58" s="14"/>
      <c r="D58" s="15"/>
      <c r="E58" s="14"/>
      <c r="F58" s="16"/>
      <c r="G58" s="35">
        <f>IF($A$4=[1]Hilfsblatt!$A$25,G35," ")</f>
        <v>3862.89</v>
      </c>
      <c r="H58" s="38"/>
    </row>
    <row r="59" spans="1:8" ht="17.25" x14ac:dyDescent="0.3">
      <c r="A59" s="38"/>
      <c r="B59" s="14" t="str">
        <f>IF($A$4=[1]Hilfsblatt!$A$25,B36," ")</f>
        <v>Total Anschlussgebühren Abwasser inkl. MwSt.</v>
      </c>
      <c r="C59" s="14"/>
      <c r="D59" s="15"/>
      <c r="E59" s="14"/>
      <c r="F59" s="16"/>
      <c r="G59" s="35">
        <f>IF($A$4=[1]Hilfsblatt!$A$25,G36," ")</f>
        <v>5087.46</v>
      </c>
      <c r="H59" s="38"/>
    </row>
    <row r="60" spans="1:8" ht="20.25" x14ac:dyDescent="0.35">
      <c r="A60" s="39"/>
      <c r="B60" s="122" t="str">
        <f>IF($A$4=[1]Hilfsblatt!$A$25,B37," ")</f>
        <v>Total Anschlussgebühren Wasser + Abwasser inkl. MwSt.</v>
      </c>
      <c r="C60" s="122">
        <f>IF($A$4=[1]Hilfsblatt!$A$25,C37," ")</f>
        <v>0</v>
      </c>
      <c r="D60" s="122">
        <f>IF($A$4=[1]Hilfsblatt!$A$25,D37," ")</f>
        <v>0</v>
      </c>
      <c r="E60" s="122">
        <f>IF($A$4=[1]Hilfsblatt!$A$25,E37," ")</f>
        <v>0</v>
      </c>
      <c r="F60" s="122">
        <f>IF($A$4=[1]Hilfsblatt!$A$25,F37," ")</f>
        <v>0</v>
      </c>
      <c r="G60" s="60">
        <f>IF($A$4=[1]Hilfsblatt!$A$25,G37," ")</f>
        <v>8950.35</v>
      </c>
      <c r="H60" s="39"/>
    </row>
    <row r="61" spans="1:8" x14ac:dyDescent="0.25">
      <c r="A61" s="18"/>
      <c r="B61" s="18"/>
      <c r="C61" s="18"/>
      <c r="D61" s="40"/>
      <c r="E61" s="18"/>
      <c r="F61" s="21"/>
      <c r="G61" s="18"/>
      <c r="H61" s="18"/>
    </row>
    <row r="62" spans="1:8" x14ac:dyDescent="0.25">
      <c r="A62" s="18"/>
      <c r="B62" s="18"/>
      <c r="C62" s="18"/>
      <c r="D62" s="40"/>
      <c r="E62" s="18"/>
      <c r="F62" s="21"/>
      <c r="G62" s="18"/>
      <c r="H62" s="18"/>
    </row>
    <row r="63" spans="1:8" x14ac:dyDescent="0.25">
      <c r="A63" s="18"/>
      <c r="B63" s="18"/>
      <c r="C63" s="18"/>
      <c r="D63" s="40"/>
      <c r="E63" s="18"/>
      <c r="F63" s="21"/>
      <c r="G63" s="18"/>
      <c r="H63" s="18"/>
    </row>
    <row r="64" spans="1:8" x14ac:dyDescent="0.25">
      <c r="A64" s="18"/>
      <c r="B64" s="18"/>
      <c r="C64" s="18"/>
      <c r="D64" s="40"/>
      <c r="E64" s="18"/>
      <c r="F64" s="21"/>
      <c r="G64" s="18"/>
      <c r="H64" s="18"/>
    </row>
    <row r="65" spans="1:8" x14ac:dyDescent="0.25">
      <c r="A65" s="18"/>
      <c r="B65" s="18"/>
      <c r="C65" s="18"/>
      <c r="D65" s="40"/>
      <c r="E65" s="18"/>
      <c r="F65" s="21"/>
      <c r="G65" s="18"/>
      <c r="H65" s="18"/>
    </row>
    <row r="66" spans="1:8" x14ac:dyDescent="0.25">
      <c r="A66" s="18"/>
      <c r="B66" s="18"/>
      <c r="C66" s="18"/>
      <c r="D66" s="40"/>
      <c r="E66" s="18"/>
      <c r="F66" s="21"/>
      <c r="G66" s="18"/>
      <c r="H66" s="18"/>
    </row>
    <row r="67" spans="1:8" x14ac:dyDescent="0.25">
      <c r="A67" s="18"/>
      <c r="B67" s="18"/>
      <c r="C67" s="18"/>
      <c r="D67" s="40"/>
      <c r="E67" s="18"/>
      <c r="F67" s="21"/>
      <c r="G67" s="18"/>
      <c r="H67" s="18"/>
    </row>
    <row r="68" spans="1:8" x14ac:dyDescent="0.25">
      <c r="A68" s="18"/>
      <c r="B68" s="18"/>
      <c r="C68" s="18"/>
      <c r="D68" s="40"/>
      <c r="E68" s="18"/>
      <c r="F68" s="21"/>
      <c r="G68" s="18"/>
      <c r="H68" s="18"/>
    </row>
    <row r="69" spans="1:8" x14ac:dyDescent="0.25">
      <c r="A69" s="18"/>
      <c r="B69" s="18"/>
      <c r="C69" s="18"/>
      <c r="D69" s="40"/>
      <c r="E69" s="18"/>
      <c r="F69" s="21"/>
      <c r="G69" s="18"/>
      <c r="H69" s="18"/>
    </row>
    <row r="70" spans="1:8" x14ac:dyDescent="0.25">
      <c r="A70" s="18"/>
      <c r="B70" s="18"/>
      <c r="C70" s="18"/>
      <c r="D70" s="40"/>
      <c r="E70" s="18"/>
      <c r="F70" s="21"/>
      <c r="G70" s="18"/>
      <c r="H70" s="18"/>
    </row>
  </sheetData>
  <sheetProtection algorithmName="SHA-512" hashValue="hsGf3TFXEhp8/ore5IdzkwGcr9UXBNjN2Ys+8kGeoAdF5DyAp1CeQsVzmSlYh4gaLt+qr6bqCW1qmofOg3+y0A==" saltValue="2T+M1UBRDjlAAJrLlLfMVg==" spinCount="100000" sheet="1" objects="1" scenarios="1"/>
  <mergeCells count="8">
    <mergeCell ref="B60:F60"/>
    <mergeCell ref="A7:A8"/>
    <mergeCell ref="B9:D9"/>
    <mergeCell ref="B2:F2"/>
    <mergeCell ref="B11:D11"/>
    <mergeCell ref="A4:B4"/>
    <mergeCell ref="B46:F46"/>
    <mergeCell ref="B54:F54"/>
  </mergeCells>
  <conditionalFormatting sqref="A48:C48 A56:C56">
    <cfRule type="containsText" dxfId="8" priority="1" operator="containsText" text="Anschluss">
      <formula>NOT(ISERROR(SEARCH("Anschluss",A48)))</formula>
    </cfRule>
  </conditionalFormatting>
  <conditionalFormatting sqref="A48:G60">
    <cfRule type="containsText" dxfId="7" priority="3" operator="containsText" text=" ">
      <formula>NOT(ISERROR(SEARCH(" ",A48)))</formula>
    </cfRule>
  </conditionalFormatting>
  <conditionalFormatting sqref="B54:F54 B60:F60">
    <cfRule type="containsText" dxfId="6" priority="2" operator="containsText" text="Total">
      <formula>NOT(ISERROR(SEARCH("Total",B54)))</formula>
    </cfRule>
  </conditionalFormatting>
  <pageMargins left="0.7" right="0.7" top="0.78740157499999996" bottom="0.78740157499999996" header="0.3" footer="0.3"/>
  <pageSetup paperSize="9" scale="65" orientation="portrait" r:id="rId1"/>
  <headerFooter>
    <oddFooter>&amp;L&amp;Z&amp;F&amp;F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67F9DE-B4AF-4A7A-B4B2-BC5F678F8DAD}">
          <x14:formula1>
            <xm:f>Hilfsblatt!$A$22:$A$25</xm:f>
          </x14:formula1>
          <xm:sqref>A4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75E0-4A68-4D23-875B-277C46F98CC9}">
  <sheetPr>
    <pageSetUpPr fitToPage="1"/>
  </sheetPr>
  <dimension ref="A1:N70"/>
  <sheetViews>
    <sheetView tabSelected="1" view="pageBreakPreview" zoomScale="60" zoomScaleNormal="100" workbookViewId="0">
      <selection activeCell="D49" sqref="D49"/>
    </sheetView>
  </sheetViews>
  <sheetFormatPr baseColWidth="10" defaultRowHeight="15" outlineLevelRow="1" x14ac:dyDescent="0.25"/>
  <cols>
    <col min="1" max="1" width="10.85546875" customWidth="1"/>
    <col min="2" max="2" width="32.5703125" customWidth="1"/>
    <col min="3" max="3" width="21.7109375" customWidth="1"/>
    <col min="4" max="4" width="14.28515625" style="2" customWidth="1"/>
    <col min="5" max="5" width="16" customWidth="1"/>
    <col min="6" max="6" width="7.140625" style="4" customWidth="1"/>
    <col min="7" max="7" width="20.140625" customWidth="1"/>
    <col min="8" max="8" width="11.28515625" customWidth="1"/>
  </cols>
  <sheetData>
    <row r="1" spans="1:14" s="1" customFormat="1" ht="25.5" x14ac:dyDescent="0.5">
      <c r="A1" s="10" t="s">
        <v>83</v>
      </c>
      <c r="B1" s="11"/>
      <c r="C1" s="11"/>
      <c r="D1" s="12"/>
      <c r="E1" s="11"/>
      <c r="F1" s="13"/>
      <c r="G1" s="11"/>
      <c r="H1" s="11"/>
    </row>
    <row r="2" spans="1:14" ht="16.5" x14ac:dyDescent="0.3">
      <c r="A2" s="42" t="s">
        <v>46</v>
      </c>
      <c r="B2" s="125" t="s">
        <v>47</v>
      </c>
      <c r="C2" s="125"/>
      <c r="D2" s="125"/>
      <c r="E2" s="125"/>
      <c r="F2" s="125"/>
      <c r="G2" s="14"/>
      <c r="H2" s="14"/>
    </row>
    <row r="3" spans="1:14" ht="16.5" x14ac:dyDescent="0.3">
      <c r="A3" s="42"/>
      <c r="B3" s="43"/>
      <c r="C3" s="43"/>
      <c r="D3" s="43"/>
      <c r="E3" s="43"/>
      <c r="F3" s="43"/>
      <c r="G3" s="14"/>
      <c r="H3" s="14"/>
    </row>
    <row r="4" spans="1:14" ht="16.5" x14ac:dyDescent="0.3">
      <c r="A4" s="128" t="s">
        <v>74</v>
      </c>
      <c r="B4" s="128"/>
      <c r="C4" s="43"/>
      <c r="D4" s="43"/>
      <c r="E4" s="43"/>
      <c r="F4" s="43"/>
      <c r="G4" s="14"/>
      <c r="H4" s="14"/>
    </row>
    <row r="5" spans="1:14" ht="16.5" x14ac:dyDescent="0.3">
      <c r="A5" s="14"/>
      <c r="B5" s="14"/>
      <c r="C5" s="14"/>
      <c r="D5" s="15"/>
      <c r="E5" s="14"/>
      <c r="F5" s="16"/>
      <c r="G5" s="14"/>
      <c r="H5" s="14"/>
    </row>
    <row r="6" spans="1:14" ht="33" x14ac:dyDescent="0.6">
      <c r="A6" s="17" t="s">
        <v>84</v>
      </c>
      <c r="B6" s="14"/>
      <c r="C6" s="14"/>
      <c r="D6" s="15"/>
      <c r="E6" s="14"/>
      <c r="F6" s="16"/>
      <c r="G6" s="14"/>
      <c r="H6" s="18"/>
    </row>
    <row r="7" spans="1:14" ht="16.5" x14ac:dyDescent="0.3">
      <c r="A7" s="127" t="s">
        <v>6</v>
      </c>
      <c r="B7" s="16" t="s">
        <v>11</v>
      </c>
      <c r="C7" s="19"/>
      <c r="D7" s="20"/>
      <c r="E7" s="24" t="s">
        <v>29</v>
      </c>
      <c r="F7" s="41"/>
      <c r="G7" s="22" t="s">
        <v>14</v>
      </c>
      <c r="H7" s="18"/>
    </row>
    <row r="8" spans="1:14" ht="16.5" x14ac:dyDescent="0.3">
      <c r="A8" s="127"/>
      <c r="B8" s="16" t="s">
        <v>12</v>
      </c>
      <c r="C8" s="19"/>
      <c r="D8" s="20"/>
      <c r="E8" s="61">
        <v>1</v>
      </c>
      <c r="F8" s="41"/>
      <c r="G8" s="22" t="s">
        <v>15</v>
      </c>
      <c r="H8" s="18"/>
    </row>
    <row r="9" spans="1:14" ht="17.25" thickBot="1" x14ac:dyDescent="0.35">
      <c r="A9" s="25"/>
      <c r="B9" s="127" t="s">
        <v>30</v>
      </c>
      <c r="C9" s="127"/>
      <c r="D9" s="127"/>
      <c r="E9" s="72">
        <v>100</v>
      </c>
      <c r="F9" s="16" t="s">
        <v>61</v>
      </c>
      <c r="G9" s="22" t="s">
        <v>21</v>
      </c>
      <c r="H9" s="18"/>
    </row>
    <row r="10" spans="1:14" ht="16.5" x14ac:dyDescent="0.3">
      <c r="A10" s="18"/>
      <c r="B10" s="11" t="s">
        <v>18</v>
      </c>
      <c r="C10" s="19"/>
      <c r="D10" s="20"/>
      <c r="E10" s="46">
        <f>E9</f>
        <v>100</v>
      </c>
      <c r="F10" s="16" t="s">
        <v>61</v>
      </c>
      <c r="G10" s="18"/>
      <c r="H10" s="18"/>
    </row>
    <row r="11" spans="1:14" ht="16.5" hidden="1" outlineLevel="1" x14ac:dyDescent="0.3">
      <c r="A11" s="67"/>
      <c r="B11" s="117"/>
      <c r="C11" s="118"/>
      <c r="D11" s="119"/>
      <c r="E11" s="120"/>
      <c r="F11" s="75"/>
      <c r="G11" s="67"/>
      <c r="H11" s="67"/>
      <c r="I11" s="67"/>
      <c r="J11" s="67"/>
      <c r="K11" s="67"/>
      <c r="L11" s="67"/>
      <c r="M11" s="67"/>
    </row>
    <row r="12" spans="1:14" ht="33" hidden="1" outlineLevel="1" x14ac:dyDescent="0.6">
      <c r="A12" s="86" t="s">
        <v>23</v>
      </c>
      <c r="B12" s="73"/>
      <c r="C12" s="73"/>
      <c r="D12" s="85"/>
      <c r="E12" s="73"/>
      <c r="F12" s="75"/>
      <c r="G12" s="73"/>
      <c r="H12" s="73"/>
      <c r="I12" s="67"/>
      <c r="J12" s="67"/>
      <c r="K12" s="67"/>
      <c r="L12" s="67"/>
      <c r="M12" s="67"/>
      <c r="N12" s="67"/>
    </row>
    <row r="13" spans="1:14" ht="16.5" hidden="1" outlineLevel="1" x14ac:dyDescent="0.3">
      <c r="A13" s="87"/>
      <c r="B13" s="88"/>
      <c r="C13" s="88"/>
      <c r="D13" s="89"/>
      <c r="E13" s="90"/>
      <c r="F13" s="75"/>
      <c r="G13" s="73"/>
      <c r="H13" s="73"/>
      <c r="I13" s="67"/>
      <c r="J13" s="67"/>
      <c r="K13" s="67"/>
      <c r="L13" s="67"/>
      <c r="M13" s="67"/>
      <c r="N13" s="67"/>
    </row>
    <row r="14" spans="1:14" ht="16.5" hidden="1" outlineLevel="1" x14ac:dyDescent="0.3">
      <c r="A14" s="73"/>
      <c r="B14" s="73" t="s">
        <v>48</v>
      </c>
      <c r="C14" s="73" t="s">
        <v>28</v>
      </c>
      <c r="D14" s="101">
        <v>2</v>
      </c>
      <c r="E14" s="106">
        <f>E10</f>
        <v>100</v>
      </c>
      <c r="F14" s="75" t="s">
        <v>61</v>
      </c>
      <c r="G14" s="100">
        <f>ROUND((D14*E14),2)</f>
        <v>200</v>
      </c>
      <c r="H14" s="75" t="s">
        <v>61</v>
      </c>
      <c r="I14" s="67"/>
      <c r="J14" s="67"/>
      <c r="K14" s="67"/>
      <c r="L14" s="67"/>
      <c r="M14" s="67"/>
      <c r="N14" s="67"/>
    </row>
    <row r="15" spans="1:14" ht="16.5" hidden="1" outlineLevel="1" x14ac:dyDescent="0.3">
      <c r="A15" s="73"/>
      <c r="B15" s="73"/>
      <c r="C15" s="73"/>
      <c r="D15" s="101"/>
      <c r="E15" s="90"/>
      <c r="F15" s="75"/>
      <c r="G15" s="73"/>
      <c r="H15" s="73"/>
      <c r="I15" s="67"/>
      <c r="J15" s="67"/>
      <c r="K15" s="67"/>
      <c r="L15" s="67"/>
      <c r="M15" s="67"/>
      <c r="N15" s="67"/>
    </row>
    <row r="16" spans="1:14" ht="16.5" hidden="1" outlineLevel="1" x14ac:dyDescent="0.3">
      <c r="A16" s="73"/>
      <c r="B16" s="73" t="s">
        <v>64</v>
      </c>
      <c r="C16" s="73"/>
      <c r="D16" s="74">
        <v>20</v>
      </c>
      <c r="E16" s="109">
        <f>SUM(G14:G14)</f>
        <v>200</v>
      </c>
      <c r="F16" s="75" t="s">
        <v>61</v>
      </c>
      <c r="G16" s="76">
        <f>SUM(D16*E16)</f>
        <v>4000</v>
      </c>
      <c r="H16" s="73"/>
      <c r="I16" s="67"/>
      <c r="J16" s="67"/>
      <c r="K16" s="67"/>
      <c r="L16" s="67"/>
      <c r="M16" s="67"/>
      <c r="N16" s="67"/>
    </row>
    <row r="17" spans="1:14" ht="16.5" hidden="1" outlineLevel="1" x14ac:dyDescent="0.3">
      <c r="A17" s="73"/>
      <c r="B17" s="110" t="s">
        <v>89</v>
      </c>
      <c r="C17" s="73"/>
      <c r="D17" s="111">
        <v>2.5999999999999999E-2</v>
      </c>
      <c r="E17" s="109"/>
      <c r="F17" s="75"/>
      <c r="G17" s="76">
        <f>SUM(G16*D17)</f>
        <v>104</v>
      </c>
      <c r="H17" s="73"/>
      <c r="I17" s="67"/>
      <c r="J17" s="69" t="s">
        <v>91</v>
      </c>
      <c r="K17" s="69"/>
      <c r="L17" s="69"/>
      <c r="M17" s="69"/>
      <c r="N17" s="67"/>
    </row>
    <row r="18" spans="1:14" ht="16.5" hidden="1" outlineLevel="1" x14ac:dyDescent="0.3">
      <c r="A18" s="73"/>
      <c r="B18" s="77" t="s">
        <v>4</v>
      </c>
      <c r="C18" s="73"/>
      <c r="D18" s="78">
        <v>2.5999999999999999E-2</v>
      </c>
      <c r="E18" s="76"/>
      <c r="F18" s="75"/>
      <c r="G18" s="76">
        <f>IF(A4="Nur Wasser",ROUND((G16*D17)*2,1)/2,G17-L19)</f>
        <v>104</v>
      </c>
      <c r="H18" s="73"/>
      <c r="I18" s="67"/>
      <c r="J18" s="69" t="s">
        <v>86</v>
      </c>
      <c r="K18" s="69" t="s">
        <v>87</v>
      </c>
      <c r="L18" s="69" t="s">
        <v>88</v>
      </c>
      <c r="M18" s="69"/>
      <c r="N18" s="67"/>
    </row>
    <row r="19" spans="1:14" s="3" customFormat="1" ht="18" hidden="1" outlineLevel="1" thickBot="1" x14ac:dyDescent="0.35">
      <c r="A19" s="79"/>
      <c r="B19" s="81" t="s">
        <v>82</v>
      </c>
      <c r="C19" s="81"/>
      <c r="D19" s="82"/>
      <c r="E19" s="81"/>
      <c r="F19" s="83"/>
      <c r="G19" s="84">
        <f>G16+G18</f>
        <v>4104</v>
      </c>
      <c r="H19" s="79"/>
      <c r="I19" s="68"/>
      <c r="J19" s="114">
        <f>G17+G26</f>
        <v>509</v>
      </c>
      <c r="K19" s="71">
        <f>ROUND((G17+G26)*2,1)/2</f>
        <v>509</v>
      </c>
      <c r="L19" s="70">
        <f>J19-K19</f>
        <v>0</v>
      </c>
      <c r="M19" s="71"/>
      <c r="N19" s="68"/>
    </row>
    <row r="20" spans="1:14" ht="17.25" hidden="1" outlineLevel="1" thickTop="1" x14ac:dyDescent="0.3">
      <c r="A20" s="73"/>
      <c r="B20" s="73"/>
      <c r="C20" s="73"/>
      <c r="D20" s="85"/>
      <c r="E20" s="73"/>
      <c r="F20" s="75"/>
      <c r="G20" s="73"/>
      <c r="H20" s="73"/>
      <c r="I20" s="67"/>
      <c r="J20" s="67"/>
      <c r="K20" s="67"/>
      <c r="L20" s="67"/>
      <c r="M20" s="67"/>
      <c r="N20" s="67"/>
    </row>
    <row r="21" spans="1:14" ht="33" hidden="1" outlineLevel="1" x14ac:dyDescent="0.6">
      <c r="A21" s="86" t="s">
        <v>24</v>
      </c>
      <c r="B21" s="73"/>
      <c r="C21" s="73"/>
      <c r="D21" s="85"/>
      <c r="E21" s="73"/>
      <c r="F21" s="75"/>
      <c r="G21" s="73"/>
      <c r="H21" s="73"/>
      <c r="I21" s="67"/>
      <c r="J21" s="67"/>
      <c r="K21" s="67"/>
      <c r="L21" s="67"/>
      <c r="M21" s="67"/>
      <c r="N21" s="67"/>
    </row>
    <row r="22" spans="1:14" ht="16.5" hidden="1" outlineLevel="1" x14ac:dyDescent="0.3">
      <c r="A22" s="87"/>
      <c r="B22" s="88"/>
      <c r="C22" s="88"/>
      <c r="D22" s="89"/>
      <c r="E22" s="90"/>
      <c r="F22" s="75"/>
      <c r="G22" s="73"/>
      <c r="H22" s="73"/>
      <c r="I22" s="67"/>
      <c r="J22" s="67"/>
      <c r="K22" s="67"/>
      <c r="L22" s="67"/>
      <c r="M22" s="67"/>
      <c r="N22" s="67"/>
    </row>
    <row r="23" spans="1:14" ht="16.5" hidden="1" outlineLevel="1" x14ac:dyDescent="0.3">
      <c r="A23" s="73"/>
      <c r="B23" s="73" t="s">
        <v>48</v>
      </c>
      <c r="C23" s="73" t="s">
        <v>28</v>
      </c>
      <c r="D23" s="101">
        <v>2</v>
      </c>
      <c r="E23" s="106">
        <f>E10</f>
        <v>100</v>
      </c>
      <c r="F23" s="75" t="s">
        <v>61</v>
      </c>
      <c r="G23" s="100">
        <f>ROUND((D23*E23),2)</f>
        <v>200</v>
      </c>
      <c r="H23" s="75" t="s">
        <v>61</v>
      </c>
      <c r="I23" s="67"/>
      <c r="J23" s="67"/>
      <c r="K23" s="67"/>
      <c r="L23" s="67"/>
      <c r="M23" s="67"/>
      <c r="N23" s="67"/>
    </row>
    <row r="24" spans="1:14" ht="16.5" hidden="1" outlineLevel="1" x14ac:dyDescent="0.3">
      <c r="A24" s="73"/>
      <c r="B24" s="73"/>
      <c r="C24" s="73"/>
      <c r="D24" s="101"/>
      <c r="E24" s="90"/>
      <c r="F24" s="75"/>
      <c r="G24" s="73">
        <f>IF(A4="Nur Wasser",ROUND((G22*D23)*2,1)/2,G23-L25)</f>
        <v>200</v>
      </c>
      <c r="H24" s="73"/>
      <c r="I24" s="67"/>
      <c r="J24" s="67"/>
      <c r="K24" s="67"/>
      <c r="L24" s="67"/>
      <c r="M24" s="67"/>
      <c r="N24" s="67"/>
    </row>
    <row r="25" spans="1:14" ht="16.5" hidden="1" outlineLevel="1" x14ac:dyDescent="0.3">
      <c r="A25" s="73"/>
      <c r="B25" s="73" t="s">
        <v>64</v>
      </c>
      <c r="C25" s="73"/>
      <c r="D25" s="74">
        <v>25</v>
      </c>
      <c r="E25" s="109">
        <f>SUM(G23:G23)</f>
        <v>200</v>
      </c>
      <c r="F25" s="75" t="s">
        <v>61</v>
      </c>
      <c r="G25" s="76">
        <f>SUM(D25*E25)</f>
        <v>5000</v>
      </c>
      <c r="H25" s="73"/>
      <c r="I25" s="67"/>
      <c r="J25" s="67"/>
      <c r="K25" s="67"/>
      <c r="L25" s="67"/>
      <c r="M25" s="67"/>
      <c r="N25" s="67"/>
    </row>
    <row r="26" spans="1:14" ht="16.5" hidden="1" outlineLevel="1" x14ac:dyDescent="0.3">
      <c r="A26" s="73"/>
      <c r="B26" s="77" t="s">
        <v>4</v>
      </c>
      <c r="C26" s="73"/>
      <c r="D26" s="78">
        <v>8.1000000000000003E-2</v>
      </c>
      <c r="E26" s="76"/>
      <c r="F26" s="75"/>
      <c r="G26" s="76">
        <f>IF(A4="Nur Abwasser",ROUND((G25*D26)*2,1)/2,ROUND((G25*D26),2))</f>
        <v>405</v>
      </c>
      <c r="H26" s="73"/>
      <c r="I26" s="67"/>
      <c r="J26" s="67"/>
      <c r="K26" s="67"/>
      <c r="L26" s="67"/>
      <c r="M26" s="67"/>
      <c r="N26" s="67"/>
    </row>
    <row r="27" spans="1:14" ht="18" hidden="1" outlineLevel="1" thickBot="1" x14ac:dyDescent="0.35">
      <c r="A27" s="79"/>
      <c r="B27" s="81" t="s">
        <v>81</v>
      </c>
      <c r="C27" s="81"/>
      <c r="D27" s="82"/>
      <c r="E27" s="81"/>
      <c r="F27" s="83"/>
      <c r="G27" s="84">
        <f>G25+G26</f>
        <v>5405</v>
      </c>
      <c r="H27" s="73"/>
      <c r="I27" s="67"/>
      <c r="J27" s="67"/>
      <c r="K27" s="67"/>
      <c r="L27" s="67"/>
      <c r="M27" s="67"/>
      <c r="N27" s="67"/>
    </row>
    <row r="28" spans="1:14" ht="17.25" hidden="1" outlineLevel="1" thickTop="1" x14ac:dyDescent="0.3">
      <c r="A28" s="73"/>
      <c r="B28" s="73"/>
      <c r="C28" s="73"/>
      <c r="D28" s="85"/>
      <c r="E28" s="73"/>
      <c r="F28" s="75"/>
      <c r="G28" s="73"/>
      <c r="H28" s="73"/>
      <c r="I28" s="67"/>
      <c r="J28" s="67"/>
      <c r="K28" s="67"/>
      <c r="L28" s="67"/>
      <c r="M28" s="67"/>
      <c r="N28" s="67"/>
    </row>
    <row r="29" spans="1:14" ht="33" hidden="1" outlineLevel="1" x14ac:dyDescent="0.6">
      <c r="A29" s="86" t="s">
        <v>76</v>
      </c>
      <c r="B29" s="73"/>
      <c r="C29" s="73"/>
      <c r="D29" s="85"/>
      <c r="E29" s="73"/>
      <c r="F29" s="75"/>
      <c r="G29" s="73"/>
      <c r="H29" s="73"/>
      <c r="I29" s="67"/>
      <c r="J29" s="67"/>
      <c r="K29" s="67"/>
      <c r="L29" s="67"/>
      <c r="M29" s="67"/>
      <c r="N29" s="67"/>
    </row>
    <row r="30" spans="1:14" ht="16.5" hidden="1" outlineLevel="1" x14ac:dyDescent="0.3">
      <c r="A30" s="73"/>
      <c r="B30" s="73"/>
      <c r="C30" s="73"/>
      <c r="D30" s="85"/>
      <c r="E30" s="73"/>
      <c r="F30" s="75"/>
      <c r="G30" s="73"/>
      <c r="H30" s="73"/>
      <c r="I30" s="67"/>
      <c r="J30" s="67"/>
      <c r="K30" s="67"/>
      <c r="L30" s="67"/>
      <c r="M30" s="67"/>
      <c r="N30" s="67"/>
    </row>
    <row r="31" spans="1:14" s="6" customFormat="1" ht="17.25" hidden="1" outlineLevel="1" x14ac:dyDescent="0.3">
      <c r="A31" s="91"/>
      <c r="B31" s="73" t="s">
        <v>82</v>
      </c>
      <c r="C31" s="73"/>
      <c r="D31" s="85"/>
      <c r="E31" s="73"/>
      <c r="F31" s="75"/>
      <c r="G31" s="76">
        <f>SUM(G19)</f>
        <v>4104</v>
      </c>
      <c r="H31" s="91"/>
      <c r="I31" s="92"/>
      <c r="J31" s="92"/>
      <c r="K31" s="92"/>
      <c r="L31" s="92"/>
      <c r="M31" s="92"/>
      <c r="N31" s="92"/>
    </row>
    <row r="32" spans="1:14" s="6" customFormat="1" ht="17.25" hidden="1" outlineLevel="1" x14ac:dyDescent="0.3">
      <c r="A32" s="91"/>
      <c r="B32" s="73" t="s">
        <v>81</v>
      </c>
      <c r="C32" s="73"/>
      <c r="D32" s="85"/>
      <c r="E32" s="73"/>
      <c r="F32" s="75"/>
      <c r="G32" s="76">
        <f>SUM(G27)</f>
        <v>5405</v>
      </c>
      <c r="H32" s="91"/>
      <c r="I32" s="92"/>
      <c r="J32" s="92"/>
      <c r="K32" s="92"/>
      <c r="L32" s="92"/>
      <c r="M32" s="92"/>
      <c r="N32" s="92"/>
    </row>
    <row r="33" spans="1:14" s="5" customFormat="1" ht="21" hidden="1" outlineLevel="1" thickBot="1" x14ac:dyDescent="0.4">
      <c r="A33" s="93"/>
      <c r="B33" s="80" t="s">
        <v>77</v>
      </c>
      <c r="C33" s="80"/>
      <c r="D33" s="94"/>
      <c r="E33" s="80"/>
      <c r="F33" s="95"/>
      <c r="G33" s="96">
        <f>SUM(G31:G32)</f>
        <v>9509</v>
      </c>
      <c r="H33" s="93"/>
      <c r="I33" s="97"/>
      <c r="J33" s="97"/>
      <c r="K33" s="97"/>
      <c r="L33" s="97"/>
      <c r="M33" s="97"/>
      <c r="N33" s="97"/>
    </row>
    <row r="34" spans="1:14" ht="17.25" hidden="1" outlineLevel="1" thickTop="1" x14ac:dyDescent="0.3">
      <c r="A34" s="73"/>
      <c r="B34" s="73"/>
      <c r="C34" s="73"/>
      <c r="D34" s="85"/>
      <c r="E34" s="73"/>
      <c r="F34" s="75"/>
      <c r="G34" s="73"/>
      <c r="H34" s="73"/>
      <c r="I34" s="67"/>
      <c r="J34" s="67"/>
      <c r="K34" s="67"/>
      <c r="L34" s="67"/>
      <c r="M34" s="67"/>
    </row>
    <row r="35" spans="1:14" ht="16.5" collapsed="1" x14ac:dyDescent="0.3">
      <c r="A35" s="14"/>
      <c r="B35" s="14"/>
      <c r="C35" s="14"/>
      <c r="D35" s="15"/>
      <c r="E35" s="14"/>
      <c r="F35" s="16"/>
      <c r="G35" s="14"/>
      <c r="H35" s="14"/>
    </row>
    <row r="36" spans="1:14" ht="33" x14ac:dyDescent="0.6">
      <c r="A36" s="17" t="str">
        <f>IF($A$4=[1]Hilfsblatt!$A$23,A12,IF($A$4=[1]Hilfsblatt!$A$24,A21,IF($A$4=[1]Hilfsblatt!$A$25,A12," ")))</f>
        <v>Anschlussgebühr Wasser</v>
      </c>
      <c r="B36" s="14"/>
      <c r="C36" s="14"/>
      <c r="D36" s="15"/>
      <c r="E36" s="14"/>
      <c r="F36" s="16"/>
      <c r="G36" s="14"/>
      <c r="H36" s="14"/>
    </row>
    <row r="37" spans="1:14" ht="16.5" x14ac:dyDescent="0.3">
      <c r="A37" s="25"/>
      <c r="B37" s="44"/>
      <c r="C37" s="44"/>
      <c r="D37" s="30"/>
      <c r="E37" s="31"/>
      <c r="F37" s="16"/>
      <c r="G37" s="14"/>
      <c r="H37" s="14"/>
    </row>
    <row r="38" spans="1:14" ht="16.5" x14ac:dyDescent="0.3">
      <c r="A38" s="25"/>
      <c r="B38" s="32" t="str">
        <f>IF($A$4=[1]Hilfsblatt!$A$23,B14,IF($A$4=[1]Hilfsblatt!$A$24,B23,IF($A$4=[1]Hilfsblatt!$A$25,B14," ")))</f>
        <v>Zone für öffentl. Bauten</v>
      </c>
      <c r="C38" s="14" t="str">
        <f>IF($A$4=[1]Hilfsblatt!$A$23,C14,IF($A$4=[1]Hilfsblatt!$A$24,C23,IF($A$4=[1]Hilfsblatt!$A$25,C14," ")))</f>
        <v>Faktor e.</v>
      </c>
      <c r="D38" s="33">
        <f>IF($A$4=[1]Hilfsblatt!$A$23,D14,IF($A$4=[1]Hilfsblatt!$A$24,D23,IF($A$4=[1]Hilfsblatt!$A$25,D14," ")))</f>
        <v>2</v>
      </c>
      <c r="E38" s="31">
        <f>IF($A$4=[1]Hilfsblatt!$A$23,E14,IF($A$4=[1]Hilfsblatt!$A$24,E23,IF($A$4=[1]Hilfsblatt!$A$25,E14," ")))</f>
        <v>100</v>
      </c>
      <c r="F38" s="16" t="str">
        <f>IF($A$4=[1]Hilfsblatt!$A$23,F14,IF($A$4=[1]Hilfsblatt!$A$24,F23,IF($A$4=[1]Hilfsblatt!$A$25,F14," ")))</f>
        <v>m²</v>
      </c>
      <c r="G38" s="51">
        <f>IF($A$4=[1]Hilfsblatt!$A$23,G14,IF($A$4=[1]Hilfsblatt!$A$24,G23,IF($A$4=[1]Hilfsblatt!$A$25,G14," ")))</f>
        <v>200</v>
      </c>
      <c r="H38" s="16" t="str">
        <f>IF($A$4=[1]Hilfsblatt!$A$23,H14,IF($A$4=[1]Hilfsblatt!$A$24,H23,IF($A$4=[1]Hilfsblatt!$A$25,H14," ")))</f>
        <v>m²</v>
      </c>
    </row>
    <row r="39" spans="1:14" ht="16.5" x14ac:dyDescent="0.3">
      <c r="A39" s="14"/>
      <c r="B39" s="14"/>
      <c r="C39" s="14"/>
      <c r="D39" s="26"/>
      <c r="E39" s="31"/>
      <c r="F39" s="16"/>
      <c r="G39" s="14"/>
      <c r="H39" s="14"/>
    </row>
    <row r="40" spans="1:14" ht="16.5" x14ac:dyDescent="0.3">
      <c r="A40" s="14"/>
      <c r="B40" s="14" t="str">
        <f>IF($A$4=[1]Hilfsblatt!$A$23,B16,IF($A$4=[1]Hilfsblatt!$A$24,B25,IF($A$4=[1]Hilfsblatt!$A$25,B16," ")))</f>
        <v>Anschlussgebühr pro m²</v>
      </c>
      <c r="C40" s="14"/>
      <c r="D40" s="34">
        <f>IF($A$4=[1]Hilfsblatt!$A$23,D16,IF($A$4=[1]Hilfsblatt!$A$24,D25,IF($A$4=[1]Hilfsblatt!$A$25,D16," ")))</f>
        <v>20</v>
      </c>
      <c r="E40" s="45">
        <f>IF($A$4=[1]Hilfsblatt!$A$23,E16,IF($A$4=[1]Hilfsblatt!$A$24,E25,IF($A$4=[1]Hilfsblatt!$A$25,E16," ")))</f>
        <v>200</v>
      </c>
      <c r="F40" s="16" t="str">
        <f>IF($A$4=[1]Hilfsblatt!$A$23,F16,IF($A$4=[1]Hilfsblatt!$A$24,F25,IF($A$4=[1]Hilfsblatt!$A$25,F16," ")))</f>
        <v>m²</v>
      </c>
      <c r="G40" s="35">
        <f>IF($A$4=[1]Hilfsblatt!$A$23,G16,IF($A$4=[1]Hilfsblatt!$A$24,G25,IF($A$4=[1]Hilfsblatt!$A$25,G16," ")))</f>
        <v>4000</v>
      </c>
      <c r="H40" s="14"/>
    </row>
    <row r="41" spans="1:14" ht="16.5" x14ac:dyDescent="0.3">
      <c r="A41" s="14"/>
      <c r="B41" s="23" t="str">
        <f>IF($A$4=[1]Hilfsblatt!$A$23,B18,IF($A$4=[1]Hilfsblatt!$A$24,B26,IF($A$4=[1]Hilfsblatt!$A$25,B18," ")))</f>
        <v xml:space="preserve">Mehrwertsteuer </v>
      </c>
      <c r="C41" s="14"/>
      <c r="D41" s="36">
        <f>IF($A$4=[1]Hilfsblatt!$A$23,D18,IF($A$4=[1]Hilfsblatt!$A$24,D26,IF($A$4=[1]Hilfsblatt!$A$25,D18," ")))</f>
        <v>2.5999999999999999E-2</v>
      </c>
      <c r="E41" s="35"/>
      <c r="F41" s="16"/>
      <c r="G41" s="35">
        <f>IF($A$4=[1]Hilfsblatt!$A$23,G18,IF($A$4=[1]Hilfsblatt!$A$24,G26,IF($A$4=[1]Hilfsblatt!$A$25,G18," ")))</f>
        <v>104</v>
      </c>
      <c r="H41" s="14"/>
    </row>
    <row r="42" spans="1:14" ht="20.25" x14ac:dyDescent="0.35">
      <c r="A42" s="37"/>
      <c r="B42" s="122" t="str">
        <f>IF($A$4=[1]Hilfsblatt!$A$23,B19,IF($A$4=[1]Hilfsblatt!$A$24,B27,IF($A$4=[1]Hilfsblatt!$A$25,B19," ")))</f>
        <v>Total Anschlussgebühren Wasser inkl. MwSt.</v>
      </c>
      <c r="C42" s="122">
        <f>IF($A$4=[1]Hilfsblatt!$A$23,C19,IF($A$4=[1]Hilfsblatt!$A$24,C27,IF($A$4=[1]Hilfsblatt!$A$25,C19," ")))</f>
        <v>0</v>
      </c>
      <c r="D42" s="122">
        <f>IF($A$4=[1]Hilfsblatt!$A$23,D19,IF($A$4=[1]Hilfsblatt!$A$24,D27,IF($A$4=[1]Hilfsblatt!$A$25,D19," ")))</f>
        <v>0</v>
      </c>
      <c r="E42" s="122">
        <f>IF($A$4=[1]Hilfsblatt!$A$23,E19,IF($A$4=[1]Hilfsblatt!$A$24,E27,IF($A$4=[1]Hilfsblatt!$A$25,E19," ")))</f>
        <v>0</v>
      </c>
      <c r="F42" s="122">
        <f>IF($A$4=[1]Hilfsblatt!$A$23,F19,IF($A$4=[1]Hilfsblatt!$A$24,F27,IF($A$4=[1]Hilfsblatt!$A$25,F19," ")))</f>
        <v>0</v>
      </c>
      <c r="G42" s="59">
        <f>IF($A$4=[1]Hilfsblatt!$A$23,G19,IF($A$4=[1]Hilfsblatt!$A$24,G27,IF($A$4=[1]Hilfsblatt!$A$25,G19," ")))</f>
        <v>4104</v>
      </c>
      <c r="H42" s="37"/>
    </row>
    <row r="43" spans="1:14" ht="16.5" x14ac:dyDescent="0.3">
      <c r="A43" s="14"/>
      <c r="B43" s="14"/>
      <c r="C43" s="14"/>
      <c r="D43" s="15"/>
      <c r="E43" s="14"/>
      <c r="F43" s="16"/>
      <c r="G43" s="14"/>
      <c r="H43" s="14"/>
    </row>
    <row r="44" spans="1:14" ht="33" x14ac:dyDescent="0.6">
      <c r="A44" s="17" t="str">
        <f>IF($A$4=[1]Hilfsblatt!$A$25,A21," ")</f>
        <v>Anschlussgebühr Abwasser</v>
      </c>
      <c r="B44" s="14"/>
      <c r="C44" s="14"/>
      <c r="D44" s="15"/>
      <c r="E44" s="14"/>
      <c r="F44" s="16"/>
      <c r="G44" s="14"/>
      <c r="H44" s="14"/>
    </row>
    <row r="45" spans="1:14" ht="16.5" x14ac:dyDescent="0.3">
      <c r="A45" s="25"/>
      <c r="B45" s="44"/>
      <c r="C45" s="44"/>
      <c r="D45" s="30"/>
      <c r="E45" s="31"/>
      <c r="F45" s="16"/>
      <c r="G45" s="14"/>
      <c r="H45" s="14"/>
    </row>
    <row r="46" spans="1:14" ht="16.5" x14ac:dyDescent="0.3">
      <c r="A46" s="25"/>
      <c r="B46" s="32" t="str">
        <f>IF($A$4=[1]Hilfsblatt!$A$25,B23," ")</f>
        <v>Zone für öffentl. Bauten</v>
      </c>
      <c r="C46" s="14" t="str">
        <f>IF($A$4=[1]Hilfsblatt!$A$25,C23," ")</f>
        <v>Faktor e.</v>
      </c>
      <c r="D46" s="33">
        <f>IF($A$4=[1]Hilfsblatt!$A$25,D23," ")</f>
        <v>2</v>
      </c>
      <c r="E46" s="31">
        <f>IF($A$4=[1]Hilfsblatt!$A$25,E23," ")</f>
        <v>100</v>
      </c>
      <c r="F46" s="16" t="str">
        <f>IF($A$4=[1]Hilfsblatt!$A$25,F23," ")</f>
        <v>m²</v>
      </c>
      <c r="G46" s="51">
        <f>IF($A$4=[1]Hilfsblatt!$A$25,G23," ")</f>
        <v>200</v>
      </c>
      <c r="H46" s="16" t="str">
        <f>IF($A$4=[1]Hilfsblatt!$A$25,H23," ")</f>
        <v>m²</v>
      </c>
    </row>
    <row r="47" spans="1:14" ht="16.5" x14ac:dyDescent="0.3">
      <c r="A47" s="14"/>
      <c r="B47" s="14"/>
      <c r="C47" s="14"/>
      <c r="D47" s="26"/>
      <c r="E47" s="31"/>
      <c r="F47" s="16"/>
      <c r="G47" s="14"/>
      <c r="H47" s="14"/>
    </row>
    <row r="48" spans="1:14" ht="16.5" x14ac:dyDescent="0.3">
      <c r="A48" s="14"/>
      <c r="B48" s="14" t="str">
        <f>IF($A$4=[1]Hilfsblatt!$A$25,B25," ")</f>
        <v>Anschlussgebühr pro m²</v>
      </c>
      <c r="C48" s="14"/>
      <c r="D48" s="34">
        <f>IF($A$4=[1]Hilfsblatt!$A$25,D25," ")</f>
        <v>25</v>
      </c>
      <c r="E48" s="31">
        <f>IF($A$4=[1]Hilfsblatt!$A$25,E25," ")</f>
        <v>200</v>
      </c>
      <c r="F48" s="16" t="str">
        <f>IF($A$4=[1]Hilfsblatt!$A$25,F25," ")</f>
        <v>m²</v>
      </c>
      <c r="G48" s="35">
        <f>IF($A$4=[1]Hilfsblatt!$A$25,G25," ")</f>
        <v>5000</v>
      </c>
      <c r="H48" s="14"/>
    </row>
    <row r="49" spans="1:8" ht="16.5" x14ac:dyDescent="0.3">
      <c r="A49" s="14"/>
      <c r="B49" s="23" t="str">
        <f>IF($A$4=[1]Hilfsblatt!$A$25,B26," ")</f>
        <v xml:space="preserve">Mehrwertsteuer </v>
      </c>
      <c r="C49" s="14"/>
      <c r="D49" s="36">
        <f>IF($A$4=[1]Hilfsblatt!$A$25,D26," ")</f>
        <v>8.1000000000000003E-2</v>
      </c>
      <c r="E49" s="35"/>
      <c r="F49" s="16"/>
      <c r="G49" s="35">
        <f>IF($A$4=[1]Hilfsblatt!$A$25,G26," ")</f>
        <v>405</v>
      </c>
      <c r="H49" s="14"/>
    </row>
    <row r="50" spans="1:8" ht="20.25" x14ac:dyDescent="0.35">
      <c r="A50" s="37"/>
      <c r="B50" s="122" t="str">
        <f>IF($A$4=[1]Hilfsblatt!$A$25,B27," ")</f>
        <v>Total Anschlussgebühren Abwasser inkl. MwSt.</v>
      </c>
      <c r="C50" s="122">
        <f>IF($A$4=[1]Hilfsblatt!$A$25,C27," ")</f>
        <v>0</v>
      </c>
      <c r="D50" s="122">
        <f>IF($A$4=[1]Hilfsblatt!$A$25,D27," ")</f>
        <v>0</v>
      </c>
      <c r="E50" s="122">
        <f>IF($A$4=[1]Hilfsblatt!$A$25,E27," ")</f>
        <v>0</v>
      </c>
      <c r="F50" s="122">
        <f>IF($A$4=[1]Hilfsblatt!$A$25,F27," ")</f>
        <v>0</v>
      </c>
      <c r="G50" s="59">
        <f>IF($A$4=[1]Hilfsblatt!$A$25,G27," ")</f>
        <v>5405</v>
      </c>
      <c r="H50" s="14"/>
    </row>
    <row r="51" spans="1:8" ht="17.25" x14ac:dyDescent="0.3">
      <c r="A51" s="14"/>
      <c r="B51" s="38"/>
      <c r="C51" s="38"/>
      <c r="D51" s="56"/>
      <c r="E51" s="38"/>
      <c r="F51" s="57"/>
      <c r="G51" s="38"/>
      <c r="H51" s="14"/>
    </row>
    <row r="52" spans="1:8" ht="33" x14ac:dyDescent="0.6">
      <c r="A52" s="17" t="str">
        <f>IF($A$4=[1]Hilfsblatt!$A$25,A29," ")</f>
        <v>Anschlussgebühren Total</v>
      </c>
      <c r="B52" s="38"/>
      <c r="C52" s="38"/>
      <c r="D52" s="56"/>
      <c r="E52" s="38"/>
      <c r="F52" s="57"/>
      <c r="G52" s="38"/>
      <c r="H52" s="14"/>
    </row>
    <row r="53" spans="1:8" ht="17.25" x14ac:dyDescent="0.3">
      <c r="A53" s="14"/>
      <c r="B53" s="38"/>
      <c r="C53" s="38"/>
      <c r="D53" s="56"/>
      <c r="E53" s="38"/>
      <c r="F53" s="57"/>
      <c r="G53" s="38"/>
      <c r="H53" s="14"/>
    </row>
    <row r="54" spans="1:8" ht="17.25" x14ac:dyDescent="0.3">
      <c r="A54" s="38"/>
      <c r="B54" s="14" t="str">
        <f>IF($A$4=[1]Hilfsblatt!$A$25,B31," ")</f>
        <v>Total Anschlussgebühren Wasser inkl. MwSt.</v>
      </c>
      <c r="C54" s="14"/>
      <c r="D54" s="15"/>
      <c r="E54" s="14"/>
      <c r="F54" s="16"/>
      <c r="G54" s="35">
        <f>IF($A$4=[1]Hilfsblatt!$A$25,G31," ")</f>
        <v>4104</v>
      </c>
      <c r="H54" s="38"/>
    </row>
    <row r="55" spans="1:8" ht="17.25" x14ac:dyDescent="0.3">
      <c r="A55" s="38"/>
      <c r="B55" s="14" t="str">
        <f>IF($A$4=[1]Hilfsblatt!$A$25,B32," ")</f>
        <v>Total Anschlussgebühren Abwasser inkl. MwSt.</v>
      </c>
      <c r="C55" s="14"/>
      <c r="D55" s="15"/>
      <c r="E55" s="14"/>
      <c r="F55" s="16"/>
      <c r="G55" s="35">
        <f>IF($A$4=[1]Hilfsblatt!$A$25,G32," ")</f>
        <v>5405</v>
      </c>
      <c r="H55" s="38"/>
    </row>
    <row r="56" spans="1:8" ht="20.25" x14ac:dyDescent="0.35">
      <c r="A56" s="39"/>
      <c r="B56" s="122" t="str">
        <f>IF($A$4=[1]Hilfsblatt!$A$25,B33," ")</f>
        <v>Total Anschlussgebühren Wasser + Abwasser inkl. MwSt.</v>
      </c>
      <c r="C56" s="122">
        <f>IF($A$4=[1]Hilfsblatt!$A$25,C33," ")</f>
        <v>0</v>
      </c>
      <c r="D56" s="122">
        <f>IF($A$4=[1]Hilfsblatt!$A$25,D33," ")</f>
        <v>0</v>
      </c>
      <c r="E56" s="122">
        <f>IF($A$4=[1]Hilfsblatt!$A$25,E33," ")</f>
        <v>0</v>
      </c>
      <c r="F56" s="122">
        <f>IF($A$4=[1]Hilfsblatt!$A$25,F33," ")</f>
        <v>0</v>
      </c>
      <c r="G56" s="60">
        <f>IF($A$4=[1]Hilfsblatt!$A$25,G33," ")</f>
        <v>9509</v>
      </c>
      <c r="H56" s="39"/>
    </row>
    <row r="57" spans="1:8" x14ac:dyDescent="0.25">
      <c r="A57" s="18"/>
      <c r="B57" s="18"/>
      <c r="C57" s="18"/>
      <c r="D57" s="40"/>
      <c r="E57" s="18"/>
      <c r="F57" s="21"/>
      <c r="G57" s="18"/>
      <c r="H57" s="18"/>
    </row>
    <row r="58" spans="1:8" x14ac:dyDescent="0.25">
      <c r="A58" s="18"/>
      <c r="B58" s="18"/>
      <c r="C58" s="18"/>
      <c r="D58" s="40"/>
      <c r="E58" s="18"/>
      <c r="F58" s="21"/>
      <c r="G58" s="18"/>
      <c r="H58" s="18"/>
    </row>
    <row r="59" spans="1:8" x14ac:dyDescent="0.25">
      <c r="A59" s="18"/>
      <c r="B59" s="18"/>
      <c r="C59" s="18"/>
      <c r="D59" s="40"/>
      <c r="E59" s="18"/>
      <c r="F59" s="21"/>
      <c r="G59" s="18"/>
      <c r="H59" s="18"/>
    </row>
    <row r="60" spans="1:8" x14ac:dyDescent="0.25">
      <c r="A60" s="18"/>
      <c r="B60" s="18"/>
      <c r="C60" s="18"/>
      <c r="D60" s="40"/>
      <c r="E60" s="18"/>
      <c r="F60" s="21"/>
      <c r="G60" s="18"/>
      <c r="H60" s="18"/>
    </row>
    <row r="61" spans="1:8" x14ac:dyDescent="0.25">
      <c r="A61" s="18"/>
      <c r="B61" s="18"/>
      <c r="C61" s="18"/>
      <c r="D61" s="40"/>
      <c r="E61" s="18"/>
      <c r="F61" s="21"/>
      <c r="G61" s="18"/>
      <c r="H61" s="18"/>
    </row>
    <row r="62" spans="1:8" x14ac:dyDescent="0.25">
      <c r="A62" s="18"/>
      <c r="B62" s="18"/>
      <c r="C62" s="18"/>
      <c r="D62" s="40"/>
      <c r="E62" s="18"/>
      <c r="F62" s="21"/>
      <c r="G62" s="18"/>
      <c r="H62" s="18"/>
    </row>
    <row r="63" spans="1:8" x14ac:dyDescent="0.25">
      <c r="A63" s="18"/>
      <c r="B63" s="18"/>
      <c r="C63" s="18"/>
      <c r="D63" s="40"/>
      <c r="E63" s="18"/>
      <c r="F63" s="21"/>
      <c r="G63" s="18"/>
      <c r="H63" s="18"/>
    </row>
    <row r="64" spans="1:8" x14ac:dyDescent="0.25">
      <c r="A64" s="18"/>
      <c r="B64" s="18"/>
      <c r="C64" s="18"/>
      <c r="D64" s="40"/>
      <c r="E64" s="18"/>
      <c r="F64" s="21"/>
      <c r="G64" s="18"/>
      <c r="H64" s="18"/>
    </row>
    <row r="65" spans="1:8" x14ac:dyDescent="0.25">
      <c r="A65" s="18"/>
      <c r="B65" s="18"/>
      <c r="C65" s="18"/>
      <c r="D65" s="40"/>
      <c r="E65" s="18"/>
      <c r="F65" s="21"/>
      <c r="G65" s="18"/>
      <c r="H65" s="18"/>
    </row>
    <row r="66" spans="1:8" x14ac:dyDescent="0.25">
      <c r="A66" s="18"/>
      <c r="B66" s="18"/>
      <c r="C66" s="18"/>
      <c r="D66" s="40"/>
      <c r="E66" s="18"/>
      <c r="F66" s="21"/>
      <c r="G66" s="18"/>
      <c r="H66" s="18"/>
    </row>
    <row r="67" spans="1:8" x14ac:dyDescent="0.25">
      <c r="A67" s="18"/>
      <c r="B67" s="18"/>
      <c r="C67" s="18"/>
      <c r="D67" s="40"/>
      <c r="E67" s="18"/>
      <c r="F67" s="21"/>
      <c r="G67" s="18"/>
      <c r="H67" s="18"/>
    </row>
    <row r="68" spans="1:8" x14ac:dyDescent="0.25">
      <c r="A68" s="18"/>
      <c r="B68" s="18"/>
      <c r="C68" s="18"/>
      <c r="D68" s="40"/>
      <c r="E68" s="18"/>
      <c r="F68" s="21"/>
      <c r="G68" s="18"/>
      <c r="H68" s="18"/>
    </row>
    <row r="69" spans="1:8" x14ac:dyDescent="0.25">
      <c r="A69" s="18"/>
      <c r="B69" s="18"/>
      <c r="C69" s="18"/>
      <c r="D69" s="40"/>
      <c r="E69" s="18"/>
      <c r="F69" s="21"/>
      <c r="G69" s="18"/>
      <c r="H69" s="18"/>
    </row>
    <row r="70" spans="1:8" x14ac:dyDescent="0.25">
      <c r="A70" s="18"/>
      <c r="B70" s="18"/>
      <c r="C70" s="18"/>
      <c r="D70" s="40"/>
      <c r="E70" s="18"/>
      <c r="F70" s="21"/>
      <c r="G70" s="18"/>
      <c r="H70" s="18"/>
    </row>
  </sheetData>
  <sheetProtection algorithmName="SHA-512" hashValue="jXS6b78RONSMOyVflRxjPWSIuw8L69s3mUYRqmXORAfjyWY6VfB6YuNvPlOYDLPRNOvtEZ8JhJrn1s9hLs/fjA==" saltValue="4Jwl8426R0S1ToWEkKw4Bw==" spinCount="100000" sheet="1" objects="1" scenarios="1"/>
  <mergeCells count="7">
    <mergeCell ref="B50:F50"/>
    <mergeCell ref="B56:F56"/>
    <mergeCell ref="A7:A8"/>
    <mergeCell ref="B9:D9"/>
    <mergeCell ref="B2:F2"/>
    <mergeCell ref="A4:B4"/>
    <mergeCell ref="B42:F42"/>
  </mergeCells>
  <conditionalFormatting sqref="A44:C44 A52:C52">
    <cfRule type="containsText" dxfId="5" priority="1" operator="containsText" text="Anschluss">
      <formula>NOT(ISERROR(SEARCH("Anschluss",A44)))</formula>
    </cfRule>
  </conditionalFormatting>
  <conditionalFormatting sqref="A44:G56">
    <cfRule type="containsText" dxfId="4" priority="3" operator="containsText" text=" ">
      <formula>NOT(ISERROR(SEARCH(" ",A44)))</formula>
    </cfRule>
  </conditionalFormatting>
  <conditionalFormatting sqref="B50:F50 B56:F56">
    <cfRule type="containsText" dxfId="3" priority="2" operator="containsText" text="Total">
      <formula>NOT(ISERROR(SEARCH("Total",B50)))</formula>
    </cfRule>
  </conditionalFormatting>
  <pageMargins left="0.7" right="0.7" top="0.78740157499999996" bottom="0.78740157499999996" header="0.3" footer="0.3"/>
  <pageSetup paperSize="9" scale="65" orientation="portrait" r:id="rId1"/>
  <headerFooter>
    <oddFooter>&amp;L&amp;Z&amp;F&amp;F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DBA0F9-BB9E-42B2-82C3-3D3AF46BBFF1}">
          <x14:formula1>
            <xm:f>Hilfsblatt!$A$22:$A$25</xm:f>
          </x14:formula1>
          <xm:sqref>A4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48FE-2B66-4B7E-81F2-20802CD1E638}">
  <sheetPr>
    <pageSetUpPr fitToPage="1"/>
  </sheetPr>
  <dimension ref="A1:M71"/>
  <sheetViews>
    <sheetView view="pageBreakPreview" zoomScale="60" zoomScaleNormal="100" zoomScalePageLayoutView="130" workbookViewId="0">
      <selection activeCell="A17" sqref="A17:XFD40"/>
    </sheetView>
  </sheetViews>
  <sheetFormatPr baseColWidth="10" defaultRowHeight="15" outlineLevelRow="1" x14ac:dyDescent="0.25"/>
  <cols>
    <col min="1" max="1" width="10.85546875" customWidth="1"/>
    <col min="2" max="2" width="32.5703125" customWidth="1"/>
    <col min="3" max="3" width="21.7109375" customWidth="1"/>
    <col min="4" max="4" width="14.28515625" style="2" customWidth="1"/>
    <col min="5" max="5" width="16" customWidth="1"/>
    <col min="6" max="6" width="7.140625" style="4" customWidth="1"/>
    <col min="7" max="7" width="20.140625" customWidth="1"/>
    <col min="8" max="8" width="11.28515625" customWidth="1"/>
  </cols>
  <sheetData>
    <row r="1" spans="1:13" s="1" customFormat="1" ht="25.5" x14ac:dyDescent="0.5">
      <c r="A1" s="10" t="s">
        <v>83</v>
      </c>
      <c r="B1" s="11"/>
      <c r="C1" s="11"/>
      <c r="D1" s="12"/>
      <c r="E1" s="11"/>
      <c r="F1" s="13"/>
      <c r="G1" s="11"/>
      <c r="H1" s="11"/>
    </row>
    <row r="2" spans="1:13" ht="16.5" x14ac:dyDescent="0.3">
      <c r="A2" s="42" t="s">
        <v>46</v>
      </c>
      <c r="B2" s="125" t="s">
        <v>47</v>
      </c>
      <c r="C2" s="125"/>
      <c r="D2" s="125"/>
      <c r="E2" s="125"/>
      <c r="F2" s="125"/>
      <c r="G2" s="14"/>
      <c r="H2" s="14"/>
    </row>
    <row r="3" spans="1:13" ht="16.5" x14ac:dyDescent="0.3">
      <c r="A3" s="42"/>
      <c r="B3" s="43"/>
      <c r="C3" s="43"/>
      <c r="D3" s="43"/>
      <c r="E3" s="43"/>
      <c r="F3" s="43"/>
      <c r="G3" s="14"/>
      <c r="H3" s="14"/>
    </row>
    <row r="4" spans="1:13" ht="16.5" x14ac:dyDescent="0.3">
      <c r="A4" s="128" t="s">
        <v>74</v>
      </c>
      <c r="B4" s="128"/>
      <c r="C4" s="43"/>
      <c r="D4" s="43"/>
      <c r="E4" s="43"/>
      <c r="F4" s="43"/>
      <c r="G4" s="14"/>
      <c r="H4" s="14"/>
    </row>
    <row r="5" spans="1:13" ht="16.5" x14ac:dyDescent="0.3">
      <c r="A5" s="14"/>
      <c r="B5" s="14"/>
      <c r="C5" s="14"/>
      <c r="D5" s="15"/>
      <c r="E5" s="14"/>
      <c r="F5" s="16"/>
      <c r="G5" s="14"/>
      <c r="H5" s="14"/>
    </row>
    <row r="6" spans="1:13" ht="33" x14ac:dyDescent="0.6">
      <c r="A6" s="17" t="s">
        <v>84</v>
      </c>
      <c r="B6" s="14"/>
      <c r="C6" s="14"/>
      <c r="D6" s="15"/>
      <c r="E6" s="14"/>
      <c r="F6" s="16"/>
      <c r="G6" s="14"/>
      <c r="H6" s="18"/>
    </row>
    <row r="7" spans="1:13" ht="16.5" x14ac:dyDescent="0.3">
      <c r="A7" s="127"/>
      <c r="B7" s="16" t="s">
        <v>11</v>
      </c>
      <c r="C7" s="19"/>
      <c r="D7" s="129" t="s">
        <v>52</v>
      </c>
      <c r="E7" s="129"/>
      <c r="F7" s="41"/>
      <c r="G7" s="22" t="s">
        <v>14</v>
      </c>
      <c r="H7" s="18"/>
    </row>
    <row r="8" spans="1:13" ht="30" customHeight="1" x14ac:dyDescent="0.3">
      <c r="A8" s="127"/>
      <c r="B8" s="16" t="s">
        <v>44</v>
      </c>
      <c r="C8" s="19"/>
      <c r="D8" s="130" t="s">
        <v>50</v>
      </c>
      <c r="E8" s="130"/>
      <c r="F8" s="41"/>
      <c r="G8" s="22"/>
      <c r="H8" s="18"/>
    </row>
    <row r="9" spans="1:13" ht="16.5" x14ac:dyDescent="0.3">
      <c r="A9" s="127"/>
      <c r="B9" s="16" t="s">
        <v>12</v>
      </c>
      <c r="C9" s="19"/>
      <c r="D9" s="131">
        <v>1</v>
      </c>
      <c r="E9" s="131"/>
      <c r="F9" s="41"/>
      <c r="G9" s="22" t="s">
        <v>15</v>
      </c>
      <c r="H9" s="18"/>
    </row>
    <row r="10" spans="1:13" ht="17.25" customHeight="1" thickBot="1" x14ac:dyDescent="0.35">
      <c r="A10" s="25"/>
      <c r="B10" s="23" t="s">
        <v>30</v>
      </c>
      <c r="C10" s="23"/>
      <c r="D10" s="132">
        <v>1387</v>
      </c>
      <c r="E10" s="132"/>
      <c r="F10" s="16" t="s">
        <v>61</v>
      </c>
      <c r="G10" s="22" t="s">
        <v>21</v>
      </c>
      <c r="H10" s="18"/>
    </row>
    <row r="11" spans="1:13" ht="16.5" x14ac:dyDescent="0.3">
      <c r="A11" s="18"/>
      <c r="B11" s="11" t="s">
        <v>18</v>
      </c>
      <c r="C11" s="19"/>
      <c r="D11" s="133">
        <f>D10</f>
        <v>1387</v>
      </c>
      <c r="E11" s="133"/>
      <c r="F11" s="16" t="s">
        <v>61</v>
      </c>
      <c r="G11" s="18"/>
      <c r="H11" s="18"/>
    </row>
    <row r="12" spans="1:13" ht="16.5" hidden="1" x14ac:dyDescent="0.3">
      <c r="A12" s="67"/>
      <c r="B12" s="117"/>
      <c r="C12" s="118"/>
      <c r="D12" s="119"/>
      <c r="E12" s="120"/>
      <c r="F12" s="75"/>
      <c r="G12" s="67"/>
      <c r="H12" s="67"/>
      <c r="I12" s="67"/>
      <c r="J12" s="67"/>
      <c r="K12" s="67"/>
      <c r="L12" s="67"/>
      <c r="M12" s="67"/>
    </row>
    <row r="13" spans="1:13" ht="33" hidden="1" x14ac:dyDescent="0.6">
      <c r="A13" s="86" t="s">
        <v>23</v>
      </c>
      <c r="B13" s="73"/>
      <c r="C13" s="73"/>
      <c r="D13" s="85"/>
      <c r="E13" s="73"/>
      <c r="F13" s="75"/>
      <c r="G13" s="73"/>
      <c r="H13" s="73"/>
      <c r="I13" s="67"/>
      <c r="J13" s="67"/>
      <c r="K13" s="67"/>
      <c r="L13" s="67"/>
      <c r="M13" s="67"/>
    </row>
    <row r="14" spans="1:13" ht="16.5" hidden="1" x14ac:dyDescent="0.3">
      <c r="A14" s="87"/>
      <c r="B14" s="88"/>
      <c r="C14" s="88"/>
      <c r="D14" s="89"/>
      <c r="E14" s="90"/>
      <c r="F14" s="75"/>
      <c r="G14" s="73"/>
      <c r="H14" s="73"/>
      <c r="I14" s="67"/>
      <c r="J14" s="67"/>
      <c r="K14" s="67"/>
      <c r="L14" s="67"/>
      <c r="M14" s="67"/>
    </row>
    <row r="15" spans="1:13" ht="66" hidden="1" x14ac:dyDescent="0.3">
      <c r="A15" s="73"/>
      <c r="B15" s="115" t="str">
        <f>D8</f>
        <v>Wohnbauten mit/ohne Gewerbeanteil, zusammengebaut mit Ökonomieteil</v>
      </c>
      <c r="C15" s="73" t="str">
        <f>VLOOKUP(B15,[1]Hilfsblatt!$A$15:$C$17,3,FALSE)</f>
        <v>Faktor b.</v>
      </c>
      <c r="D15" s="116">
        <f>VLOOKUP(B15,[1]Hilfsblatt!$A$15:$C$17,2,FALSE)</f>
        <v>1</v>
      </c>
      <c r="E15" s="106">
        <f>D11</f>
        <v>1387</v>
      </c>
      <c r="F15" s="75" t="s">
        <v>61</v>
      </c>
      <c r="G15" s="107">
        <f>ROUND(D15*E15,2)</f>
        <v>1387</v>
      </c>
      <c r="H15" s="75" t="s">
        <v>61</v>
      </c>
      <c r="I15" s="67"/>
      <c r="J15" s="67"/>
      <c r="K15" s="67"/>
      <c r="L15" s="67"/>
      <c r="M15" s="67"/>
    </row>
    <row r="16" spans="1:13" ht="16.5" hidden="1" outlineLevel="1" x14ac:dyDescent="0.3">
      <c r="A16" s="73"/>
      <c r="B16" s="73"/>
      <c r="C16" s="73"/>
      <c r="D16" s="101"/>
      <c r="E16" s="90"/>
      <c r="F16" s="75"/>
      <c r="G16" s="73"/>
      <c r="H16" s="73"/>
      <c r="I16" s="67"/>
      <c r="J16" s="67"/>
      <c r="K16" s="67"/>
      <c r="L16" s="67"/>
      <c r="M16" s="67"/>
    </row>
    <row r="17" spans="1:13" ht="16.5" hidden="1" outlineLevel="1" x14ac:dyDescent="0.3">
      <c r="A17" s="73"/>
      <c r="B17" s="73" t="s">
        <v>64</v>
      </c>
      <c r="C17" s="73"/>
      <c r="D17" s="74">
        <v>20</v>
      </c>
      <c r="E17" s="109">
        <f>SUM(G15:G15)</f>
        <v>1387</v>
      </c>
      <c r="F17" s="75" t="s">
        <v>61</v>
      </c>
      <c r="G17" s="76">
        <f>SUM(D17*E17)</f>
        <v>27740</v>
      </c>
      <c r="H17" s="73"/>
      <c r="I17" s="67"/>
      <c r="J17" s="67"/>
      <c r="K17" s="67"/>
      <c r="L17" s="67"/>
      <c r="M17" s="67"/>
    </row>
    <row r="18" spans="1:13" ht="16.5" hidden="1" outlineLevel="1" x14ac:dyDescent="0.3">
      <c r="A18" s="73"/>
      <c r="B18" s="110" t="s">
        <v>89</v>
      </c>
      <c r="C18" s="73"/>
      <c r="D18" s="111">
        <v>2.5999999999999999E-2</v>
      </c>
      <c r="E18" s="109"/>
      <c r="F18" s="75"/>
      <c r="G18" s="76">
        <f>SUM(G17*D18)</f>
        <v>721.24</v>
      </c>
      <c r="H18" s="73"/>
      <c r="I18" s="67"/>
      <c r="J18" s="69" t="s">
        <v>91</v>
      </c>
      <c r="K18" s="69"/>
      <c r="L18" s="69"/>
      <c r="M18" s="69"/>
    </row>
    <row r="19" spans="1:13" ht="16.5" hidden="1" outlineLevel="1" x14ac:dyDescent="0.3">
      <c r="A19" s="73"/>
      <c r="B19" s="77" t="s">
        <v>4</v>
      </c>
      <c r="C19" s="73"/>
      <c r="D19" s="78">
        <v>2.5999999999999999E-2</v>
      </c>
      <c r="E19" s="76"/>
      <c r="F19" s="75"/>
      <c r="G19" s="76">
        <f>IF(A4="Nur Wasser",ROUND((G17*D18)*2,1)/2,G18-L20)</f>
        <v>721.25</v>
      </c>
      <c r="H19" s="73"/>
      <c r="I19" s="67"/>
      <c r="J19" s="69" t="s">
        <v>86</v>
      </c>
      <c r="K19" s="69" t="s">
        <v>87</v>
      </c>
      <c r="L19" s="69" t="s">
        <v>88</v>
      </c>
      <c r="M19" s="69"/>
    </row>
    <row r="20" spans="1:13" s="3" customFormat="1" ht="21" hidden="1" outlineLevel="1" thickBot="1" x14ac:dyDescent="0.4">
      <c r="A20" s="79"/>
      <c r="B20" s="80" t="s">
        <v>82</v>
      </c>
      <c r="C20" s="81"/>
      <c r="D20" s="82"/>
      <c r="E20" s="81"/>
      <c r="F20" s="83"/>
      <c r="G20" s="84">
        <f>G17+G19</f>
        <v>28461.25</v>
      </c>
      <c r="H20" s="79"/>
      <c r="I20" s="68"/>
      <c r="J20" s="70">
        <f>G18+G27</f>
        <v>721.24</v>
      </c>
      <c r="K20" s="71">
        <f>ROUND((G18+G27)*2,1)/2</f>
        <v>721.25</v>
      </c>
      <c r="L20" s="70">
        <f>J20-K20</f>
        <v>-9.9999999999909051E-3</v>
      </c>
      <c r="M20" s="71"/>
    </row>
    <row r="21" spans="1:13" ht="17.25" hidden="1" outlineLevel="1" thickTop="1" x14ac:dyDescent="0.3">
      <c r="A21" s="73"/>
      <c r="B21" s="73"/>
      <c r="C21" s="73"/>
      <c r="D21" s="85"/>
      <c r="E21" s="73"/>
      <c r="F21" s="75"/>
      <c r="G21" s="73"/>
      <c r="H21" s="73"/>
      <c r="I21" s="67"/>
      <c r="J21" s="67"/>
      <c r="K21" s="67"/>
      <c r="L21" s="67"/>
      <c r="M21" s="67"/>
    </row>
    <row r="22" spans="1:13" ht="33" hidden="1" outlineLevel="1" x14ac:dyDescent="0.6">
      <c r="A22" s="86" t="s">
        <v>24</v>
      </c>
      <c r="B22" s="73"/>
      <c r="C22" s="73"/>
      <c r="D22" s="85"/>
      <c r="E22" s="73"/>
      <c r="F22" s="75"/>
      <c r="G22" s="73"/>
      <c r="H22" s="73"/>
      <c r="I22" s="67"/>
      <c r="J22" s="67"/>
      <c r="K22" s="67"/>
      <c r="L22" s="67"/>
      <c r="M22" s="67"/>
    </row>
    <row r="23" spans="1:13" ht="16.5" hidden="1" outlineLevel="1" x14ac:dyDescent="0.3">
      <c r="A23" s="87"/>
      <c r="B23" s="88"/>
      <c r="C23" s="88"/>
      <c r="D23" s="89"/>
      <c r="E23" s="90"/>
      <c r="F23" s="75"/>
      <c r="G23" s="73"/>
      <c r="H23" s="73"/>
      <c r="I23" s="67"/>
      <c r="J23" s="67"/>
      <c r="K23" s="67"/>
      <c r="L23" s="67"/>
      <c r="M23" s="67"/>
    </row>
    <row r="24" spans="1:13" ht="51" hidden="1" customHeight="1" outlineLevel="1" x14ac:dyDescent="0.3">
      <c r="A24" s="73"/>
      <c r="B24" s="77" t="str">
        <f>B15</f>
        <v>Wohnbauten mit/ohne Gewerbeanteil, zusammengebaut mit Ökonomieteil</v>
      </c>
      <c r="C24" s="73" t="str">
        <f>VLOOKUP(B24,[1]Hilfsblatt!$A$15:$C$17,3,FALSE)</f>
        <v>Faktor b.</v>
      </c>
      <c r="D24" s="116">
        <f>VLOOKUP(B24,[1]Hilfsblatt!$A$15:$C$17,2,FALSE)</f>
        <v>1</v>
      </c>
      <c r="E24" s="106">
        <f>D11</f>
        <v>1387</v>
      </c>
      <c r="F24" s="75" t="s">
        <v>61</v>
      </c>
      <c r="G24" s="107">
        <f>IF(A4="Nur Wasser",ROUND((G22*D23)*2,1)/2,G23-L25)</f>
        <v>0</v>
      </c>
      <c r="H24" s="75" t="s">
        <v>61</v>
      </c>
      <c r="I24" s="67"/>
      <c r="J24" s="67"/>
      <c r="K24" s="67"/>
      <c r="L24" s="67"/>
      <c r="M24" s="67"/>
    </row>
    <row r="25" spans="1:13" ht="16.5" hidden="1" outlineLevel="1" x14ac:dyDescent="0.3">
      <c r="A25" s="73"/>
      <c r="B25" s="73"/>
      <c r="C25" s="73"/>
      <c r="D25" s="101"/>
      <c r="E25" s="90"/>
      <c r="F25" s="75"/>
      <c r="G25" s="73"/>
      <c r="H25" s="73"/>
      <c r="I25" s="67"/>
      <c r="J25" s="67"/>
      <c r="K25" s="67"/>
      <c r="L25" s="67"/>
      <c r="M25" s="67"/>
    </row>
    <row r="26" spans="1:13" ht="16.5" hidden="1" outlineLevel="1" x14ac:dyDescent="0.3">
      <c r="A26" s="73"/>
      <c r="B26" s="73" t="s">
        <v>64</v>
      </c>
      <c r="C26" s="73"/>
      <c r="D26" s="74">
        <v>25</v>
      </c>
      <c r="E26" s="109">
        <f>SUM(G24:G24)</f>
        <v>0</v>
      </c>
      <c r="F26" s="75" t="s">
        <v>61</v>
      </c>
      <c r="G26" s="76">
        <f>SUM(D26*E26)</f>
        <v>0</v>
      </c>
      <c r="H26" s="73"/>
      <c r="I26" s="67"/>
      <c r="J26" s="67"/>
      <c r="K26" s="67"/>
      <c r="L26" s="67"/>
      <c r="M26" s="67"/>
    </row>
    <row r="27" spans="1:13" ht="16.5" hidden="1" outlineLevel="1" x14ac:dyDescent="0.3">
      <c r="A27" s="73"/>
      <c r="B27" s="77" t="s">
        <v>4</v>
      </c>
      <c r="C27" s="73"/>
      <c r="D27" s="78">
        <v>8.1000000000000003E-2</v>
      </c>
      <c r="E27" s="76"/>
      <c r="F27" s="75"/>
      <c r="G27" s="76">
        <f>IF(A4="Nur Abwasser",ROUND((G26*D27)*2,1)/2,ROUND((G26*D27),2))</f>
        <v>0</v>
      </c>
      <c r="H27" s="73"/>
      <c r="I27" s="67"/>
      <c r="J27" s="67"/>
      <c r="K27" s="67"/>
      <c r="L27" s="67"/>
      <c r="M27" s="67"/>
    </row>
    <row r="28" spans="1:13" ht="21" hidden="1" outlineLevel="1" thickBot="1" x14ac:dyDescent="0.4">
      <c r="A28" s="79"/>
      <c r="B28" s="80" t="s">
        <v>81</v>
      </c>
      <c r="C28" s="81"/>
      <c r="D28" s="82"/>
      <c r="E28" s="81"/>
      <c r="F28" s="83"/>
      <c r="G28" s="84">
        <f>G26+G27</f>
        <v>0</v>
      </c>
      <c r="H28" s="73"/>
      <c r="I28" s="67"/>
      <c r="J28" s="67"/>
      <c r="K28" s="67"/>
      <c r="L28" s="67"/>
      <c r="M28" s="67"/>
    </row>
    <row r="29" spans="1:13" ht="17.25" hidden="1" outlineLevel="1" thickTop="1" x14ac:dyDescent="0.3">
      <c r="A29" s="73"/>
      <c r="B29" s="73"/>
      <c r="C29" s="73"/>
      <c r="D29" s="85"/>
      <c r="E29" s="73"/>
      <c r="F29" s="75"/>
      <c r="G29" s="73"/>
      <c r="H29" s="73"/>
      <c r="I29" s="67"/>
      <c r="J29" s="67"/>
      <c r="K29" s="67"/>
      <c r="L29" s="67"/>
      <c r="M29" s="67"/>
    </row>
    <row r="30" spans="1:13" ht="33" hidden="1" outlineLevel="1" x14ac:dyDescent="0.6">
      <c r="A30" s="86" t="s">
        <v>76</v>
      </c>
      <c r="B30" s="73"/>
      <c r="C30" s="73"/>
      <c r="D30" s="85"/>
      <c r="E30" s="73"/>
      <c r="F30" s="75"/>
      <c r="G30" s="73"/>
      <c r="H30" s="73"/>
      <c r="I30" s="67"/>
      <c r="J30" s="67"/>
      <c r="K30" s="67"/>
      <c r="L30" s="67"/>
      <c r="M30" s="67"/>
    </row>
    <row r="31" spans="1:13" ht="16.5" hidden="1" outlineLevel="1" x14ac:dyDescent="0.3">
      <c r="A31" s="73"/>
      <c r="B31" s="73"/>
      <c r="C31" s="73"/>
      <c r="D31" s="85"/>
      <c r="E31" s="73"/>
      <c r="F31" s="75"/>
      <c r="G31" s="73"/>
      <c r="H31" s="73"/>
      <c r="I31" s="67"/>
      <c r="J31" s="67"/>
      <c r="K31" s="67"/>
      <c r="L31" s="67"/>
      <c r="M31" s="67"/>
    </row>
    <row r="32" spans="1:13" s="6" customFormat="1" ht="17.25" hidden="1" outlineLevel="1" x14ac:dyDescent="0.3">
      <c r="A32" s="91"/>
      <c r="B32" s="73" t="s">
        <v>79</v>
      </c>
      <c r="C32" s="73"/>
      <c r="D32" s="85"/>
      <c r="E32" s="73"/>
      <c r="F32" s="75"/>
      <c r="G32" s="76">
        <f>SUM(G20)</f>
        <v>28461.25</v>
      </c>
      <c r="H32" s="91"/>
      <c r="I32" s="92"/>
      <c r="J32" s="92"/>
      <c r="K32" s="92"/>
      <c r="L32" s="92"/>
      <c r="M32" s="92"/>
    </row>
    <row r="33" spans="1:13" s="6" customFormat="1" ht="17.25" hidden="1" outlineLevel="1" x14ac:dyDescent="0.3">
      <c r="A33" s="91"/>
      <c r="B33" s="73" t="s">
        <v>78</v>
      </c>
      <c r="C33" s="73"/>
      <c r="D33" s="85"/>
      <c r="E33" s="73"/>
      <c r="F33" s="75"/>
      <c r="G33" s="76">
        <f>SUM(G28)</f>
        <v>0</v>
      </c>
      <c r="H33" s="91"/>
      <c r="I33" s="92"/>
      <c r="J33" s="92"/>
      <c r="K33" s="92"/>
      <c r="L33" s="92"/>
      <c r="M33" s="92"/>
    </row>
    <row r="34" spans="1:13" s="5" customFormat="1" ht="21" hidden="1" outlineLevel="1" thickBot="1" x14ac:dyDescent="0.4">
      <c r="A34" s="93"/>
      <c r="B34" s="80" t="s">
        <v>77</v>
      </c>
      <c r="C34" s="80"/>
      <c r="D34" s="94"/>
      <c r="E34" s="80"/>
      <c r="F34" s="95"/>
      <c r="G34" s="96">
        <f>SUM(G32:G33)</f>
        <v>28461.25</v>
      </c>
      <c r="H34" s="93"/>
      <c r="I34" s="97"/>
      <c r="J34" s="97"/>
      <c r="K34" s="97"/>
      <c r="L34" s="97"/>
      <c r="M34" s="97"/>
    </row>
    <row r="35" spans="1:13" ht="17.25" hidden="1" outlineLevel="1" thickTop="1" x14ac:dyDescent="0.3">
      <c r="A35" s="73"/>
      <c r="B35" s="73"/>
      <c r="C35" s="73"/>
      <c r="D35" s="85"/>
      <c r="E35" s="73"/>
      <c r="F35" s="75"/>
      <c r="G35" s="73"/>
      <c r="H35" s="73"/>
      <c r="I35" s="67"/>
      <c r="J35" s="67"/>
      <c r="K35" s="67"/>
      <c r="L35" s="67"/>
      <c r="M35" s="67"/>
    </row>
    <row r="36" spans="1:13" ht="16.5" collapsed="1" x14ac:dyDescent="0.3">
      <c r="A36" s="14"/>
      <c r="B36" s="14"/>
      <c r="C36" s="14"/>
      <c r="D36" s="15"/>
      <c r="E36" s="14"/>
      <c r="F36" s="16"/>
      <c r="G36" s="14"/>
      <c r="H36" s="14"/>
    </row>
    <row r="37" spans="1:13" ht="33" x14ac:dyDescent="0.6">
      <c r="A37" s="17" t="str">
        <f>IF($A$4=[1]Hilfsblatt!$A$23,A13,IF($A$4=[1]Hilfsblatt!$A$24,A22,IF($A$4=[1]Hilfsblatt!$A$25,A13," ")))</f>
        <v>Anschlussgebühr Wasser</v>
      </c>
      <c r="B37" s="14"/>
      <c r="C37" s="14"/>
      <c r="D37" s="15"/>
      <c r="E37" s="14"/>
      <c r="F37" s="16"/>
      <c r="G37" s="14"/>
      <c r="H37" s="14"/>
    </row>
    <row r="38" spans="1:13" ht="16.5" x14ac:dyDescent="0.3">
      <c r="A38" s="25"/>
      <c r="B38" s="44"/>
      <c r="C38" s="44"/>
      <c r="D38" s="30"/>
      <c r="E38" s="31"/>
      <c r="F38" s="16"/>
      <c r="G38" s="14"/>
      <c r="H38" s="14"/>
    </row>
    <row r="39" spans="1:13" ht="48" customHeight="1" x14ac:dyDescent="0.3">
      <c r="A39" s="25"/>
      <c r="B39" s="113" t="str">
        <f>IF($A$4=[1]Hilfsblatt!$A$23,B15,IF($A$4=[1]Hilfsblatt!$A$24,B24,IF($A$4=[1]Hilfsblatt!$A$25,B15," ")))</f>
        <v>Wohnbauten mit/ohne Gewerbeanteil, zusammengebaut mit Ökonomieteil</v>
      </c>
      <c r="C39" s="14" t="str">
        <f>IF($A$4=[1]Hilfsblatt!$A$23,C15,IF($A$4=[1]Hilfsblatt!$A$24,C24,IF($A$4=[1]Hilfsblatt!$A$25,C15," ")))</f>
        <v>Faktor b.</v>
      </c>
      <c r="D39" s="33">
        <f>IF($A$4=[1]Hilfsblatt!$A$23,D15,IF($A$4=[1]Hilfsblatt!$A$24,D24,IF($A$4=[1]Hilfsblatt!$A$25,D15," ")))</f>
        <v>1</v>
      </c>
      <c r="E39" s="31">
        <f>IF($A$4=[1]Hilfsblatt!$A$23,E15,IF($A$4=[1]Hilfsblatt!$A$24,E24,IF($A$4=[1]Hilfsblatt!$A$25,E15," ")))</f>
        <v>1387</v>
      </c>
      <c r="F39" s="16" t="str">
        <f>IF($A$4=[1]Hilfsblatt!$A$23,F15,IF($A$4=[1]Hilfsblatt!$A$24,F24,IF($A$4=[1]Hilfsblatt!$A$25,F15," ")))</f>
        <v>m²</v>
      </c>
      <c r="G39" s="51">
        <f>IF($A$4=[1]Hilfsblatt!$A$23,G15,IF($A$4=[1]Hilfsblatt!$A$24,G24,IF($A$4=[1]Hilfsblatt!$A$25,G15," ")))</f>
        <v>1387</v>
      </c>
      <c r="H39" s="16" t="str">
        <f>IF($A$4=[1]Hilfsblatt!$A$23,H15,IF($A$4=[1]Hilfsblatt!$A$24,H24,IF($A$4=[1]Hilfsblatt!$A$25,H15," ")))</f>
        <v>m²</v>
      </c>
    </row>
    <row r="40" spans="1:13" ht="16.5" x14ac:dyDescent="0.3">
      <c r="A40" s="14"/>
      <c r="B40" s="14"/>
      <c r="C40" s="14"/>
      <c r="D40" s="26"/>
      <c r="E40" s="31"/>
      <c r="F40" s="16"/>
      <c r="G40" s="14"/>
      <c r="H40" s="14"/>
    </row>
    <row r="41" spans="1:13" ht="16.5" x14ac:dyDescent="0.3">
      <c r="A41" s="14"/>
      <c r="B41" s="14" t="str">
        <f>IF($A$4=[1]Hilfsblatt!$A$23,B17,IF($A$4=[1]Hilfsblatt!$A$24,B26,IF($A$4=[1]Hilfsblatt!$A$25,B17," ")))</f>
        <v>Anschlussgebühr pro m²</v>
      </c>
      <c r="C41" s="14"/>
      <c r="D41" s="34">
        <f>IF($A$4=[1]Hilfsblatt!$A$23,D17,IF($A$4=[1]Hilfsblatt!$A$24,D26,IF($A$4=[1]Hilfsblatt!$A$25,D17," ")))</f>
        <v>20</v>
      </c>
      <c r="E41" s="45">
        <f>IF($A$4=[1]Hilfsblatt!$A$23,E17,IF($A$4=[1]Hilfsblatt!$A$24,E26,IF($A$4=[1]Hilfsblatt!$A$25,E17," ")))</f>
        <v>1387</v>
      </c>
      <c r="F41" s="16" t="str">
        <f>IF($A$4=[1]Hilfsblatt!$A$23,F17,IF($A$4=[1]Hilfsblatt!$A$24,F26,IF($A$4=[1]Hilfsblatt!$A$25,F17," ")))</f>
        <v>m²</v>
      </c>
      <c r="G41" s="35">
        <f>IF($A$4=[1]Hilfsblatt!$A$23,G17,IF($A$4=[1]Hilfsblatt!$A$24,G26,IF($A$4=[1]Hilfsblatt!$A$25,G17," ")))</f>
        <v>27740</v>
      </c>
      <c r="H41" s="14"/>
    </row>
    <row r="42" spans="1:13" ht="16.5" x14ac:dyDescent="0.3">
      <c r="A42" s="14"/>
      <c r="B42" s="23" t="str">
        <f>IF($A$4=[1]Hilfsblatt!$A$23,B19,IF($A$4=[1]Hilfsblatt!$A$24,B27,IF($A$4=[1]Hilfsblatt!$A$25,B19," ")))</f>
        <v xml:space="preserve">Mehrwertsteuer </v>
      </c>
      <c r="C42" s="14"/>
      <c r="D42" s="36">
        <f>IF($A$4=[1]Hilfsblatt!$A$23,D19,IF($A$4=[1]Hilfsblatt!$A$24,D27,IF($A$4=[1]Hilfsblatt!$A$25,D19," ")))</f>
        <v>2.5999999999999999E-2</v>
      </c>
      <c r="E42" s="35"/>
      <c r="F42" s="16"/>
      <c r="G42" s="35">
        <f>IF($A$4=[1]Hilfsblatt!$A$23,G19,IF($A$4=[1]Hilfsblatt!$A$24,G27,IF($A$4=[1]Hilfsblatt!$A$25,G19," ")))</f>
        <v>721.25</v>
      </c>
      <c r="H42" s="14"/>
    </row>
    <row r="43" spans="1:13" ht="20.25" x14ac:dyDescent="0.35">
      <c r="A43" s="37"/>
      <c r="B43" s="122" t="str">
        <f>IF($A$4=[1]Hilfsblatt!$A$23,B20,IF($A$4=[1]Hilfsblatt!$A$24,B28,IF($A$4=[1]Hilfsblatt!$A$25,B20," ")))</f>
        <v>Total Anschlussgebühren Wasser inkl. MwSt.</v>
      </c>
      <c r="C43" s="122">
        <f>IF($A$4=[1]Hilfsblatt!$A$23,C20,IF($A$4=[1]Hilfsblatt!$A$24,C28,IF($A$4=[1]Hilfsblatt!$A$25,C20," ")))</f>
        <v>0</v>
      </c>
      <c r="D43" s="122">
        <f>IF($A$4=[1]Hilfsblatt!$A$23,D20,IF($A$4=[1]Hilfsblatt!$A$24,D28,IF($A$4=[1]Hilfsblatt!$A$25,D20," ")))</f>
        <v>0</v>
      </c>
      <c r="E43" s="122">
        <f>IF($A$4=[1]Hilfsblatt!$A$23,E20,IF($A$4=[1]Hilfsblatt!$A$24,E28,IF($A$4=[1]Hilfsblatt!$A$25,E20," ")))</f>
        <v>0</v>
      </c>
      <c r="F43" s="122">
        <f>IF($A$4=[1]Hilfsblatt!$A$23,F20,IF($A$4=[1]Hilfsblatt!$A$24,F28,IF($A$4=[1]Hilfsblatt!$A$25,F20," ")))</f>
        <v>0</v>
      </c>
      <c r="G43" s="59">
        <f>IF($A$4=[1]Hilfsblatt!$A$23,G20,IF($A$4=[1]Hilfsblatt!$A$24,G28,IF($A$4=[1]Hilfsblatt!$A$25,G20," ")))</f>
        <v>28461.25</v>
      </c>
      <c r="H43" s="37"/>
    </row>
    <row r="44" spans="1:13" ht="16.5" x14ac:dyDescent="0.3">
      <c r="A44" s="14"/>
      <c r="B44" s="14"/>
      <c r="C44" s="14"/>
      <c r="D44" s="15"/>
      <c r="E44" s="14"/>
      <c r="F44" s="16"/>
      <c r="G44" s="14"/>
      <c r="H44" s="14"/>
    </row>
    <row r="45" spans="1:13" ht="33" x14ac:dyDescent="0.6">
      <c r="A45" s="17" t="str">
        <f>IF($A$4=[1]Hilfsblatt!$A$25,A22," ")</f>
        <v>Anschlussgebühr Abwasser</v>
      </c>
      <c r="B45" s="14"/>
      <c r="C45" s="14"/>
      <c r="D45" s="15"/>
      <c r="E45" s="14"/>
      <c r="F45" s="16"/>
      <c r="G45" s="14"/>
      <c r="H45" s="14"/>
    </row>
    <row r="46" spans="1:13" ht="16.5" x14ac:dyDescent="0.3">
      <c r="A46" s="25"/>
      <c r="B46" s="44"/>
      <c r="C46" s="44"/>
      <c r="D46" s="30"/>
      <c r="E46" s="31"/>
      <c r="F46" s="16"/>
      <c r="G46" s="14"/>
      <c r="H46" s="14"/>
    </row>
    <row r="47" spans="1:13" ht="66" x14ac:dyDescent="0.3">
      <c r="A47" s="25"/>
      <c r="B47" s="113" t="str">
        <f>IF($A$4=[1]Hilfsblatt!$A$25,B24," ")</f>
        <v>Wohnbauten mit/ohne Gewerbeanteil, zusammengebaut mit Ökonomieteil</v>
      </c>
      <c r="C47" s="14" t="str">
        <f>IF($A$4=[1]Hilfsblatt!$A$25,C24," ")</f>
        <v>Faktor b.</v>
      </c>
      <c r="D47" s="33">
        <f>IF($A$4=[1]Hilfsblatt!$A$25,D24," ")</f>
        <v>1</v>
      </c>
      <c r="E47" s="31">
        <f>IF($A$4=[1]Hilfsblatt!$A$25,E24," ")</f>
        <v>1387</v>
      </c>
      <c r="F47" s="16" t="str">
        <f>IF($A$4=[1]Hilfsblatt!$A$25,F24," ")</f>
        <v>m²</v>
      </c>
      <c r="G47" s="51">
        <f>IF($A$4=[1]Hilfsblatt!$A$25,G24," ")</f>
        <v>0</v>
      </c>
      <c r="H47" s="16" t="str">
        <f>IF($A$4=[1]Hilfsblatt!$A$25,H24," ")</f>
        <v>m²</v>
      </c>
    </row>
    <row r="48" spans="1:13" ht="16.5" x14ac:dyDescent="0.3">
      <c r="A48" s="14"/>
      <c r="B48" s="14"/>
      <c r="C48" s="14"/>
      <c r="D48" s="26"/>
      <c r="E48" s="31"/>
      <c r="F48" s="16"/>
      <c r="G48" s="14"/>
      <c r="H48" s="14"/>
    </row>
    <row r="49" spans="1:8" ht="16.5" x14ac:dyDescent="0.3">
      <c r="A49" s="14"/>
      <c r="B49" s="14" t="str">
        <f>IF($A$4=[1]Hilfsblatt!$A$25,B26," ")</f>
        <v>Anschlussgebühr pro m²</v>
      </c>
      <c r="C49" s="14"/>
      <c r="D49" s="34">
        <f>IF($A$4=[1]Hilfsblatt!$A$25,D26," ")</f>
        <v>25</v>
      </c>
      <c r="E49" s="31">
        <f>IF($A$4=[1]Hilfsblatt!$A$25,E26," ")</f>
        <v>0</v>
      </c>
      <c r="F49" s="16" t="str">
        <f>IF($A$4=[1]Hilfsblatt!$A$25,F26," ")</f>
        <v>m²</v>
      </c>
      <c r="G49" s="35">
        <f>IF($A$4=[1]Hilfsblatt!$A$25,G26," ")</f>
        <v>0</v>
      </c>
      <c r="H49" s="14"/>
    </row>
    <row r="50" spans="1:8" ht="16.5" x14ac:dyDescent="0.3">
      <c r="A50" s="14"/>
      <c r="B50" s="23" t="str">
        <f>IF($A$4=[1]Hilfsblatt!$A$25,B27," ")</f>
        <v xml:space="preserve">Mehrwertsteuer </v>
      </c>
      <c r="C50" s="14"/>
      <c r="D50" s="36">
        <f>IF($A$4=[1]Hilfsblatt!$A$25,D27," ")</f>
        <v>8.1000000000000003E-2</v>
      </c>
      <c r="E50" s="35"/>
      <c r="F50" s="16"/>
      <c r="G50" s="35">
        <f>IF($A$4=[1]Hilfsblatt!$A$25,G27," ")</f>
        <v>0</v>
      </c>
      <c r="H50" s="14"/>
    </row>
    <row r="51" spans="1:8" ht="20.25" x14ac:dyDescent="0.35">
      <c r="A51" s="37"/>
      <c r="B51" s="122" t="str">
        <f>IF($A$4=[1]Hilfsblatt!$A$25,B28," ")</f>
        <v>Total Anschlussgebühren Abwasser inkl. MwSt.</v>
      </c>
      <c r="C51" s="122">
        <f>IF($A$4=[1]Hilfsblatt!$A$25,C28," ")</f>
        <v>0</v>
      </c>
      <c r="D51" s="122">
        <f>IF($A$4=[1]Hilfsblatt!$A$25,D28," ")</f>
        <v>0</v>
      </c>
      <c r="E51" s="122">
        <f>IF($A$4=[1]Hilfsblatt!$A$25,E28," ")</f>
        <v>0</v>
      </c>
      <c r="F51" s="122">
        <f>IF($A$4=[1]Hilfsblatt!$A$25,F28," ")</f>
        <v>0</v>
      </c>
      <c r="G51" s="59">
        <f>IF($A$4=[1]Hilfsblatt!$A$25,G28," ")</f>
        <v>0</v>
      </c>
      <c r="H51" s="14"/>
    </row>
    <row r="52" spans="1:8" ht="17.25" x14ac:dyDescent="0.3">
      <c r="A52" s="14"/>
      <c r="B52" s="38"/>
      <c r="C52" s="38"/>
      <c r="D52" s="56"/>
      <c r="E52" s="38"/>
      <c r="F52" s="57"/>
      <c r="G52" s="38"/>
      <c r="H52" s="14"/>
    </row>
    <row r="53" spans="1:8" ht="33" x14ac:dyDescent="0.6">
      <c r="A53" s="17" t="str">
        <f>IF($A$4=[1]Hilfsblatt!$A$25,A30," ")</f>
        <v>Anschlussgebühren Total</v>
      </c>
      <c r="B53" s="38"/>
      <c r="C53" s="38"/>
      <c r="D53" s="56"/>
      <c r="E53" s="38"/>
      <c r="F53" s="57"/>
      <c r="G53" s="38"/>
      <c r="H53" s="14"/>
    </row>
    <row r="54" spans="1:8" ht="17.25" x14ac:dyDescent="0.3">
      <c r="A54" s="14"/>
      <c r="B54" s="38"/>
      <c r="C54" s="38"/>
      <c r="D54" s="56"/>
      <c r="E54" s="38"/>
      <c r="F54" s="57"/>
      <c r="G54" s="38"/>
      <c r="H54" s="14"/>
    </row>
    <row r="55" spans="1:8" ht="17.25" x14ac:dyDescent="0.3">
      <c r="A55" s="38"/>
      <c r="B55" s="14" t="str">
        <f>IF($A$4=[1]Hilfsblatt!$A$25,B32," ")</f>
        <v>Total Anschlussgebühren Wasser inkl. MwSt</v>
      </c>
      <c r="C55" s="14"/>
      <c r="D55" s="15"/>
      <c r="E55" s="14"/>
      <c r="F55" s="16"/>
      <c r="G55" s="35">
        <f>IF($A$4=[1]Hilfsblatt!$A$25,G32," ")</f>
        <v>28461.25</v>
      </c>
      <c r="H55" s="38"/>
    </row>
    <row r="56" spans="1:8" ht="17.25" x14ac:dyDescent="0.3">
      <c r="A56" s="38"/>
      <c r="B56" s="14" t="str">
        <f>IF($A$4=[1]Hilfsblatt!$A$25,B33," ")</f>
        <v>Total Anschlussgebühren Abwasser inkl. MwSt</v>
      </c>
      <c r="C56" s="14"/>
      <c r="D56" s="15"/>
      <c r="E56" s="14"/>
      <c r="F56" s="16"/>
      <c r="G56" s="35">
        <f>IF($A$4=[1]Hilfsblatt!$A$25,G33," ")</f>
        <v>0</v>
      </c>
      <c r="H56" s="38"/>
    </row>
    <row r="57" spans="1:8" ht="20.25" x14ac:dyDescent="0.35">
      <c r="A57" s="39"/>
      <c r="B57" s="122" t="str">
        <f>IF($A$4=[1]Hilfsblatt!$A$25,B34," ")</f>
        <v>Total Anschlussgebühren Wasser + Abwasser inkl. MwSt.</v>
      </c>
      <c r="C57" s="122">
        <f>IF($A$4=[1]Hilfsblatt!$A$25,C34," ")</f>
        <v>0</v>
      </c>
      <c r="D57" s="122">
        <f>IF($A$4=[1]Hilfsblatt!$A$25,D34," ")</f>
        <v>0</v>
      </c>
      <c r="E57" s="122">
        <f>IF($A$4=[1]Hilfsblatt!$A$25,E34," ")</f>
        <v>0</v>
      </c>
      <c r="F57" s="122">
        <f>IF($A$4=[1]Hilfsblatt!$A$25,F34," ")</f>
        <v>0</v>
      </c>
      <c r="G57" s="60">
        <f>IF($A$4=[1]Hilfsblatt!$A$25,G34," ")</f>
        <v>28461.25</v>
      </c>
      <c r="H57" s="39"/>
    </row>
    <row r="58" spans="1:8" x14ac:dyDescent="0.25">
      <c r="A58" s="18"/>
      <c r="B58" s="18"/>
      <c r="C58" s="18"/>
      <c r="D58" s="40"/>
      <c r="E58" s="18"/>
      <c r="F58" s="21"/>
      <c r="G58" s="18"/>
      <c r="H58" s="18"/>
    </row>
    <row r="59" spans="1:8" x14ac:dyDescent="0.25">
      <c r="A59" s="18"/>
      <c r="B59" s="18"/>
      <c r="C59" s="18"/>
      <c r="D59" s="40"/>
      <c r="E59" s="18"/>
      <c r="F59" s="21"/>
      <c r="G59" s="18"/>
      <c r="H59" s="18"/>
    </row>
    <row r="60" spans="1:8" x14ac:dyDescent="0.25">
      <c r="A60" s="18"/>
      <c r="B60" s="18"/>
      <c r="C60" s="18"/>
      <c r="D60" s="40"/>
      <c r="E60" s="18"/>
      <c r="F60" s="21"/>
      <c r="G60" s="18"/>
      <c r="H60" s="18"/>
    </row>
    <row r="61" spans="1:8" x14ac:dyDescent="0.25">
      <c r="A61" s="18"/>
      <c r="B61" s="18"/>
      <c r="C61" s="18"/>
      <c r="D61" s="40"/>
      <c r="E61" s="18"/>
      <c r="F61" s="21"/>
      <c r="G61" s="18"/>
      <c r="H61" s="18"/>
    </row>
    <row r="62" spans="1:8" x14ac:dyDescent="0.25">
      <c r="A62" s="18"/>
      <c r="B62" s="18"/>
      <c r="C62" s="18"/>
      <c r="D62" s="40"/>
      <c r="E62" s="18"/>
      <c r="F62" s="21"/>
      <c r="G62" s="18"/>
      <c r="H62" s="18"/>
    </row>
    <row r="63" spans="1:8" x14ac:dyDescent="0.25">
      <c r="A63" s="18"/>
      <c r="B63" s="18"/>
      <c r="C63" s="18"/>
      <c r="D63" s="40"/>
      <c r="E63" s="18"/>
      <c r="F63" s="21"/>
      <c r="G63" s="18"/>
      <c r="H63" s="18"/>
    </row>
    <row r="64" spans="1:8" x14ac:dyDescent="0.25">
      <c r="A64" s="18"/>
      <c r="B64" s="18"/>
      <c r="C64" s="18"/>
      <c r="D64" s="40"/>
      <c r="E64" s="18"/>
      <c r="F64" s="21"/>
      <c r="G64" s="18"/>
      <c r="H64" s="18"/>
    </row>
    <row r="65" spans="1:8" x14ac:dyDescent="0.25">
      <c r="A65" s="18"/>
      <c r="B65" s="18"/>
      <c r="C65" s="18"/>
      <c r="D65" s="40"/>
      <c r="E65" s="18"/>
      <c r="F65" s="21"/>
      <c r="G65" s="18"/>
      <c r="H65" s="18"/>
    </row>
    <row r="66" spans="1:8" x14ac:dyDescent="0.25">
      <c r="A66" s="18"/>
      <c r="B66" s="18"/>
      <c r="C66" s="18"/>
      <c r="D66" s="40"/>
      <c r="E66" s="18"/>
      <c r="F66" s="21"/>
      <c r="G66" s="18"/>
      <c r="H66" s="18"/>
    </row>
    <row r="67" spans="1:8" x14ac:dyDescent="0.25">
      <c r="A67" s="18"/>
      <c r="B67" s="18"/>
      <c r="C67" s="18"/>
      <c r="D67" s="40"/>
      <c r="E67" s="18"/>
      <c r="F67" s="21"/>
      <c r="G67" s="18"/>
      <c r="H67" s="18"/>
    </row>
    <row r="68" spans="1:8" x14ac:dyDescent="0.25">
      <c r="A68" s="18"/>
      <c r="B68" s="18"/>
      <c r="C68" s="18"/>
      <c r="D68" s="40"/>
      <c r="E68" s="18"/>
      <c r="F68" s="21"/>
      <c r="G68" s="18"/>
      <c r="H68" s="18"/>
    </row>
    <row r="69" spans="1:8" x14ac:dyDescent="0.25">
      <c r="A69" s="18"/>
      <c r="B69" s="18"/>
      <c r="C69" s="18"/>
      <c r="D69" s="40"/>
      <c r="E69" s="18"/>
      <c r="F69" s="21"/>
      <c r="G69" s="18"/>
      <c r="H69" s="18"/>
    </row>
    <row r="70" spans="1:8" x14ac:dyDescent="0.25">
      <c r="A70" s="18"/>
      <c r="B70" s="18"/>
      <c r="C70" s="18"/>
      <c r="D70" s="40"/>
      <c r="E70" s="18"/>
      <c r="F70" s="21"/>
      <c r="G70" s="18"/>
      <c r="H70" s="18"/>
    </row>
    <row r="71" spans="1:8" x14ac:dyDescent="0.25">
      <c r="A71" s="18"/>
      <c r="B71" s="18"/>
      <c r="C71" s="18"/>
      <c r="D71" s="40"/>
      <c r="E71" s="18"/>
      <c r="F71" s="21"/>
      <c r="G71" s="18"/>
      <c r="H71" s="18"/>
    </row>
  </sheetData>
  <sheetProtection algorithmName="SHA-512" hashValue="ORmoa0gy8XrN9fGsAB0yqRNyO4wzVqrCKT/1nPzjY8WpaxHzl6KDNHOmKx2NvHL1RXukbJSNk1W6ykc3X3O0ew==" saltValue="u6Xhuw+F8FwsnoAp/CgaSA==" spinCount="100000" sheet="1" objects="1" scenarios="1"/>
  <mergeCells count="11">
    <mergeCell ref="B51:F51"/>
    <mergeCell ref="B57:F57"/>
    <mergeCell ref="D8:E8"/>
    <mergeCell ref="D9:E9"/>
    <mergeCell ref="D10:E10"/>
    <mergeCell ref="D11:E11"/>
    <mergeCell ref="B2:F2"/>
    <mergeCell ref="A7:A9"/>
    <mergeCell ref="A4:B4"/>
    <mergeCell ref="B43:F43"/>
    <mergeCell ref="D7:E7"/>
  </mergeCells>
  <conditionalFormatting sqref="A45:C45 A53:C53">
    <cfRule type="containsText" dxfId="2" priority="1" operator="containsText" text="Anschluss">
      <formula>NOT(ISERROR(SEARCH("Anschluss",A45)))</formula>
    </cfRule>
  </conditionalFormatting>
  <conditionalFormatting sqref="A45:G57">
    <cfRule type="containsText" dxfId="1" priority="3" operator="containsText" text=" ">
      <formula>NOT(ISERROR(SEARCH(" ",A45)))</formula>
    </cfRule>
  </conditionalFormatting>
  <conditionalFormatting sqref="B51:F51 B57:F57">
    <cfRule type="containsText" dxfId="0" priority="2" operator="containsText" text="Total">
      <formula>NOT(ISERROR(SEARCH("Total",B51)))</formula>
    </cfRule>
  </conditionalFormatting>
  <pageMargins left="0.7" right="0.7" top="0.78740157499999996" bottom="0.78740157499999996" header="0.3" footer="0.3"/>
  <pageSetup paperSize="9" scale="65" orientation="portrait" r:id="rId1"/>
  <headerFooter>
    <oddFooter>&amp;L&amp;Z&amp;F&amp;F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7F883B-186F-4210-926A-F61C5F0CAD31}">
          <x14:formula1>
            <xm:f>Hilfsblatt!$A$22:$A$25</xm:f>
          </x14:formula1>
          <xm:sqref>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CA83-8794-486A-8883-3CADD6085781}">
  <dimension ref="A1:G44"/>
  <sheetViews>
    <sheetView zoomScale="85" zoomScaleNormal="85" workbookViewId="0">
      <selection activeCell="A17" sqref="A17:XFD40"/>
    </sheetView>
  </sheetViews>
  <sheetFormatPr baseColWidth="10" defaultRowHeight="15" x14ac:dyDescent="0.25"/>
  <cols>
    <col min="1" max="1" width="33.5703125" customWidth="1"/>
    <col min="2" max="2" width="4.7109375" bestFit="1" customWidth="1"/>
    <col min="3" max="3" width="9" bestFit="1" customWidth="1"/>
    <col min="4" max="4" width="18.85546875" customWidth="1"/>
    <col min="5" max="5" width="32.7109375" bestFit="1" customWidth="1"/>
  </cols>
  <sheetData>
    <row r="1" spans="1:7" x14ac:dyDescent="0.25">
      <c r="A1" s="135" t="s">
        <v>36</v>
      </c>
      <c r="B1" s="136" t="s">
        <v>44</v>
      </c>
      <c r="C1" s="136"/>
      <c r="D1" s="134" t="s">
        <v>66</v>
      </c>
      <c r="E1" s="134"/>
      <c r="F1" s="18"/>
      <c r="G1" s="18"/>
    </row>
    <row r="2" spans="1:7" ht="28.5" x14ac:dyDescent="0.25">
      <c r="A2" s="135"/>
      <c r="B2" s="136"/>
      <c r="C2" s="136"/>
      <c r="D2" s="63" t="s">
        <v>71</v>
      </c>
      <c r="E2" s="64" t="s">
        <v>67</v>
      </c>
      <c r="F2" s="18"/>
      <c r="G2" s="18"/>
    </row>
    <row r="3" spans="1:7" x14ac:dyDescent="0.25">
      <c r="A3" s="62" t="s">
        <v>41</v>
      </c>
      <c r="B3" s="62">
        <v>1</v>
      </c>
      <c r="C3" s="62" t="s">
        <v>0</v>
      </c>
      <c r="D3" s="64">
        <v>25</v>
      </c>
      <c r="E3" s="64" t="s">
        <v>69</v>
      </c>
      <c r="F3" s="18"/>
      <c r="G3" s="18"/>
    </row>
    <row r="4" spans="1:7" x14ac:dyDescent="0.25">
      <c r="A4" s="62" t="s">
        <v>37</v>
      </c>
      <c r="B4" s="62">
        <v>1</v>
      </c>
      <c r="C4" s="62" t="s">
        <v>0</v>
      </c>
      <c r="D4" s="64">
        <v>35</v>
      </c>
      <c r="E4" s="64" t="s">
        <v>68</v>
      </c>
      <c r="F4" s="18"/>
      <c r="G4" s="18"/>
    </row>
    <row r="5" spans="1:7" x14ac:dyDescent="0.25">
      <c r="A5" s="62" t="s">
        <v>35</v>
      </c>
      <c r="B5" s="62">
        <v>1.5</v>
      </c>
      <c r="C5" s="62" t="s">
        <v>1</v>
      </c>
      <c r="D5" s="64">
        <v>45</v>
      </c>
      <c r="E5" s="64" t="s">
        <v>68</v>
      </c>
      <c r="F5" s="18"/>
      <c r="G5" s="18"/>
    </row>
    <row r="6" spans="1:7" x14ac:dyDescent="0.25">
      <c r="A6" s="62" t="s">
        <v>38</v>
      </c>
      <c r="B6" s="62">
        <v>1.5</v>
      </c>
      <c r="C6" s="62" t="s">
        <v>1</v>
      </c>
      <c r="D6" s="64">
        <v>45</v>
      </c>
      <c r="E6" s="64" t="s">
        <v>68</v>
      </c>
      <c r="F6" s="18"/>
      <c r="G6" s="18"/>
    </row>
    <row r="7" spans="1:7" x14ac:dyDescent="0.25">
      <c r="A7" s="62" t="s">
        <v>45</v>
      </c>
      <c r="B7" s="62">
        <v>2</v>
      </c>
      <c r="C7" s="62" t="s">
        <v>2</v>
      </c>
      <c r="D7" s="64">
        <v>60</v>
      </c>
      <c r="E7" s="64" t="s">
        <v>68</v>
      </c>
      <c r="F7" s="18"/>
      <c r="G7" s="18"/>
    </row>
    <row r="8" spans="1:7" x14ac:dyDescent="0.25">
      <c r="A8" s="62" t="s">
        <v>42</v>
      </c>
      <c r="B8" s="62">
        <v>2</v>
      </c>
      <c r="C8" s="62" t="s">
        <v>2</v>
      </c>
      <c r="D8" s="64">
        <v>60</v>
      </c>
      <c r="E8" s="64" t="s">
        <v>68</v>
      </c>
      <c r="F8" s="18"/>
      <c r="G8" s="18"/>
    </row>
    <row r="9" spans="1:7" x14ac:dyDescent="0.25">
      <c r="A9" s="62" t="s">
        <v>43</v>
      </c>
      <c r="B9" s="62">
        <v>2</v>
      </c>
      <c r="C9" s="62" t="s">
        <v>2</v>
      </c>
      <c r="D9" s="64">
        <f>D5*1.1</f>
        <v>49.500000000000007</v>
      </c>
      <c r="E9" s="64" t="s">
        <v>68</v>
      </c>
      <c r="F9" s="18"/>
      <c r="G9" s="18"/>
    </row>
    <row r="10" spans="1:7" x14ac:dyDescent="0.25">
      <c r="A10" s="62" t="s">
        <v>39</v>
      </c>
      <c r="B10" s="62">
        <v>2</v>
      </c>
      <c r="C10" s="62" t="s">
        <v>2</v>
      </c>
      <c r="D10" s="64">
        <f>D6*1.1</f>
        <v>49.500000000000007</v>
      </c>
      <c r="E10" s="64" t="s">
        <v>68</v>
      </c>
      <c r="F10" s="18"/>
      <c r="G10" s="18"/>
    </row>
    <row r="11" spans="1:7" x14ac:dyDescent="0.25">
      <c r="A11" s="65" t="s">
        <v>40</v>
      </c>
      <c r="B11" s="62">
        <v>1.5</v>
      </c>
      <c r="C11" s="62" t="s">
        <v>3</v>
      </c>
      <c r="D11" s="64">
        <v>45</v>
      </c>
      <c r="E11" s="64" t="s">
        <v>68</v>
      </c>
      <c r="F11" s="18"/>
      <c r="G11" s="18"/>
    </row>
    <row r="12" spans="1:7" x14ac:dyDescent="0.25">
      <c r="A12" s="65" t="s">
        <v>53</v>
      </c>
      <c r="B12" s="62">
        <v>3</v>
      </c>
      <c r="C12" s="62" t="s">
        <v>26</v>
      </c>
      <c r="D12" s="64">
        <v>5</v>
      </c>
      <c r="E12" s="64" t="s">
        <v>68</v>
      </c>
      <c r="F12" s="18"/>
      <c r="G12" s="18"/>
    </row>
    <row r="13" spans="1:7" x14ac:dyDescent="0.25">
      <c r="A13" s="65" t="s">
        <v>54</v>
      </c>
      <c r="B13" s="62">
        <v>3</v>
      </c>
      <c r="C13" s="62" t="s">
        <v>26</v>
      </c>
      <c r="D13" s="64">
        <v>7</v>
      </c>
      <c r="E13" s="64" t="s">
        <v>68</v>
      </c>
      <c r="F13" s="18"/>
      <c r="G13" s="18"/>
    </row>
    <row r="14" spans="1:7" x14ac:dyDescent="0.25">
      <c r="A14" s="62"/>
      <c r="B14" s="64"/>
      <c r="C14" s="64"/>
      <c r="D14" s="64"/>
      <c r="E14" s="64"/>
      <c r="F14" s="18"/>
      <c r="G14" s="18"/>
    </row>
    <row r="15" spans="1:7" ht="28.5" x14ac:dyDescent="0.25">
      <c r="A15" s="63" t="s">
        <v>49</v>
      </c>
      <c r="B15" s="62">
        <v>2</v>
      </c>
      <c r="C15" s="62" t="s">
        <v>0</v>
      </c>
      <c r="D15" s="64"/>
      <c r="E15" s="64"/>
      <c r="F15" s="18"/>
      <c r="G15" s="18"/>
    </row>
    <row r="16" spans="1:7" ht="28.5" x14ac:dyDescent="0.25">
      <c r="A16" s="63" t="s">
        <v>50</v>
      </c>
      <c r="B16" s="62">
        <v>1</v>
      </c>
      <c r="C16" s="62" t="s">
        <v>1</v>
      </c>
      <c r="D16" s="64"/>
      <c r="E16" s="64"/>
      <c r="F16" s="18"/>
      <c r="G16" s="18"/>
    </row>
    <row r="17" spans="1:7" x14ac:dyDescent="0.25">
      <c r="A17" s="63" t="s">
        <v>51</v>
      </c>
      <c r="B17" s="62">
        <v>1</v>
      </c>
      <c r="C17" s="62" t="s">
        <v>2</v>
      </c>
      <c r="D17" s="64"/>
      <c r="E17" s="64"/>
      <c r="F17" s="18"/>
      <c r="G17" s="18"/>
    </row>
    <row r="18" spans="1:7" x14ac:dyDescent="0.25">
      <c r="A18" s="64"/>
      <c r="B18" s="64"/>
      <c r="C18" s="64"/>
      <c r="D18" s="64"/>
      <c r="E18" s="64"/>
      <c r="F18" s="18"/>
      <c r="G18" s="18"/>
    </row>
    <row r="19" spans="1:7" ht="42.75" x14ac:dyDescent="0.25">
      <c r="A19" s="66" t="s">
        <v>70</v>
      </c>
      <c r="B19" s="64"/>
      <c r="C19" s="64"/>
      <c r="D19" s="64"/>
      <c r="E19" s="64"/>
      <c r="F19" s="18"/>
      <c r="G19" s="18"/>
    </row>
    <row r="20" spans="1:7" x14ac:dyDescent="0.25">
      <c r="A20" s="64"/>
      <c r="B20" s="64"/>
      <c r="C20" s="64"/>
      <c r="D20" s="64"/>
      <c r="E20" s="64"/>
      <c r="F20" s="18"/>
      <c r="G20" s="18"/>
    </row>
    <row r="21" spans="1:7" x14ac:dyDescent="0.25">
      <c r="A21" s="64"/>
      <c r="B21" s="64"/>
      <c r="C21" s="64"/>
      <c r="D21" s="64"/>
      <c r="E21" s="64"/>
      <c r="F21" s="18"/>
      <c r="G21" s="18"/>
    </row>
    <row r="22" spans="1:7" x14ac:dyDescent="0.25">
      <c r="A22" s="64" t="s">
        <v>75</v>
      </c>
      <c r="B22" s="64"/>
      <c r="C22" s="64"/>
      <c r="D22" s="64"/>
      <c r="E22" s="64"/>
      <c r="F22" s="18"/>
      <c r="G22" s="18"/>
    </row>
    <row r="23" spans="1:7" x14ac:dyDescent="0.25">
      <c r="A23" s="64" t="s">
        <v>72</v>
      </c>
      <c r="B23" s="64" t="s">
        <v>5</v>
      </c>
      <c r="C23" s="64"/>
      <c r="D23" s="64"/>
      <c r="E23" s="64"/>
      <c r="F23" s="18"/>
      <c r="G23" s="18"/>
    </row>
    <row r="24" spans="1:7" x14ac:dyDescent="0.25">
      <c r="A24" s="62" t="s">
        <v>73</v>
      </c>
      <c r="B24" s="62" t="s">
        <v>7</v>
      </c>
      <c r="C24" s="64"/>
      <c r="D24" s="64"/>
      <c r="E24" s="64"/>
      <c r="F24" s="18"/>
      <c r="G24" s="18"/>
    </row>
    <row r="25" spans="1:7" x14ac:dyDescent="0.25">
      <c r="A25" s="64" t="s">
        <v>74</v>
      </c>
      <c r="B25" s="64" t="s">
        <v>8</v>
      </c>
      <c r="C25" s="64"/>
      <c r="D25" s="64"/>
      <c r="E25" s="64"/>
      <c r="F25" s="18"/>
      <c r="G25" s="18"/>
    </row>
    <row r="26" spans="1:7" x14ac:dyDescent="0.25">
      <c r="A26" s="18"/>
      <c r="B26" s="18"/>
      <c r="C26" s="18"/>
      <c r="D26" s="18"/>
      <c r="E26" s="18"/>
      <c r="F26" s="18"/>
      <c r="G26" s="18"/>
    </row>
    <row r="27" spans="1:7" x14ac:dyDescent="0.25">
      <c r="A27" s="18"/>
      <c r="B27" s="18"/>
      <c r="C27" s="18"/>
      <c r="D27" s="18"/>
      <c r="E27" s="18"/>
      <c r="F27" s="18"/>
      <c r="G27" s="18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18"/>
      <c r="B32" s="18"/>
      <c r="C32" s="18"/>
      <c r="D32" s="18"/>
      <c r="E32" s="18"/>
      <c r="F32" s="18"/>
      <c r="G32" s="18"/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8"/>
      <c r="E36" s="18"/>
      <c r="F36" s="18"/>
      <c r="G36" s="18"/>
    </row>
    <row r="37" spans="1:7" x14ac:dyDescent="0.25">
      <c r="A37" s="18"/>
      <c r="B37" s="18"/>
      <c r="C37" s="18"/>
      <c r="D37" s="18"/>
      <c r="E37" s="18"/>
      <c r="F37" s="18"/>
      <c r="G37" s="18"/>
    </row>
    <row r="38" spans="1:7" x14ac:dyDescent="0.25">
      <c r="A38" s="18"/>
      <c r="B38" s="18"/>
      <c r="C38" s="18"/>
      <c r="D38" s="18"/>
      <c r="E38" s="18"/>
      <c r="F38" s="18"/>
      <c r="G38" s="18"/>
    </row>
    <row r="39" spans="1:7" x14ac:dyDescent="0.25">
      <c r="A39" s="18"/>
      <c r="B39" s="18"/>
      <c r="C39" s="18"/>
      <c r="D39" s="18"/>
      <c r="E39" s="18"/>
      <c r="F39" s="18"/>
      <c r="G39" s="18"/>
    </row>
    <row r="40" spans="1:7" x14ac:dyDescent="0.25">
      <c r="A40" s="18"/>
      <c r="B40" s="18"/>
      <c r="C40" s="18"/>
      <c r="D40" s="18"/>
      <c r="E40" s="18"/>
      <c r="F40" s="18"/>
      <c r="G40" s="18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18"/>
      <c r="B44" s="18"/>
      <c r="C44" s="18"/>
      <c r="D44" s="18"/>
      <c r="E44" s="18"/>
      <c r="F44" s="18"/>
      <c r="G44" s="18"/>
    </row>
  </sheetData>
  <sheetProtection algorithmName="SHA-512" hashValue="duEvybSbdcbrC1oDRe5Xp+u/yFS8cZfzZ2jBv0HP2E3wsYGtXTsr+ZOPBKkz2A06ozA2eFVieOorSf7X0pDNPQ==" saltValue="RfPO8Z8AV9dBq3bRenFjhw==" spinCount="100000" sheet="1" selectLockedCells="1" selectUnlockedCells="1"/>
  <mergeCells count="3">
    <mergeCell ref="D1:E1"/>
    <mergeCell ref="A1:A2"/>
    <mergeCell ref="B1:C2"/>
  </mergeCells>
  <phoneticPr fontId="20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Gebührenblatt W, WG, KB</vt:lpstr>
      <vt:lpstr>Gebührenblatt G</vt:lpstr>
      <vt:lpstr>Gebührenblatt KA</vt:lpstr>
      <vt:lpstr>Gebührenblatt öB</vt:lpstr>
      <vt:lpstr>Gebührenblatt übrige (LW)</vt:lpstr>
      <vt:lpstr>Hilfsblatt</vt:lpstr>
      <vt:lpstr>'Gebührenblatt G'!Druckbereich</vt:lpstr>
      <vt:lpstr>'Gebührenblatt KA'!Druckbereich</vt:lpstr>
      <vt:lpstr>'Gebührenblatt öB'!Druckbereich</vt:lpstr>
      <vt:lpstr>'Gebührenblatt übrige (LW)'!Druckbereich</vt:lpstr>
      <vt:lpstr>'Gebührenblatt W, WG, KB'!Druckbereich</vt:lpstr>
    </vt:vector>
  </TitlesOfParts>
  <Company>Regionales Informatikzentrum RIZ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Köchli Lukas</dc:creator>
  <cp:lastModifiedBy>Frischknecht Theo</cp:lastModifiedBy>
  <cp:lastPrinted>2021-09-28T09:55:46Z</cp:lastPrinted>
  <dcterms:created xsi:type="dcterms:W3CDTF">2018-01-03T09:07:49Z</dcterms:created>
  <dcterms:modified xsi:type="dcterms:W3CDTF">2023-12-22T09:05:18Z</dcterms:modified>
</cp:coreProperties>
</file>